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9"/>
  <workbookPr filterPrivacy="1" defaultThemeVersion="124226"/>
  <xr:revisionPtr revIDLastSave="0" documentId="8_{EAAAB5DA-C333-439B-9BA7-5B8AD0BC5556}" xr6:coauthVersionLast="36" xr6:coauthVersionMax="36" xr10:uidLastSave="{00000000-0000-0000-0000-000000000000}"/>
  <bookViews>
    <workbookView xWindow="0" yWindow="0" windowWidth="28800" windowHeight="11880" xr2:uid="{00000000-000D-0000-FFFF-FFFF00000000}"/>
  </bookViews>
  <sheets>
    <sheet name="Лист1" sheetId="1" r:id="rId1"/>
    <sheet name="Информация о подписи" sheetId="2" r:id="rId2"/>
  </sheets>
  <definedNames>
    <definedName name="_xlnm._FilterDatabase" localSheetId="0" hidden="1">Лист1!$A$14:$CV$123</definedName>
    <definedName name="_xlnm.Print_Area" localSheetId="0">Лист1!$A$1:$CV$123</definedName>
  </definedNames>
  <calcPr calcId="191029" calcOnSave="0"/>
</workbook>
</file>

<file path=xl/calcChain.xml><?xml version="1.0" encoding="utf-8"?>
<calcChain xmlns="http://schemas.openxmlformats.org/spreadsheetml/2006/main">
  <c r="S32" i="1" l="1"/>
  <c r="W90" i="1" l="1"/>
  <c r="V123" i="1"/>
  <c r="V122" i="1"/>
  <c r="V121" i="1"/>
  <c r="V120" i="1"/>
  <c r="V119" i="1"/>
  <c r="V118" i="1"/>
  <c r="V109" i="1"/>
  <c r="V108" i="1"/>
  <c r="V107" i="1"/>
  <c r="V106" i="1"/>
  <c r="V105" i="1"/>
  <c r="V104" i="1"/>
  <c r="V103" i="1"/>
  <c r="V102" i="1"/>
  <c r="V101" i="1"/>
  <c r="V100" i="1"/>
  <c r="V99" i="1"/>
  <c r="V98" i="1"/>
  <c r="V97" i="1"/>
  <c r="V96" i="1"/>
  <c r="V95" i="1"/>
  <c r="V94" i="1"/>
  <c r="V93" i="1"/>
  <c r="V90" i="1"/>
  <c r="V87" i="1"/>
  <c r="V82" i="1"/>
  <c r="V67" i="1"/>
  <c r="V48" i="1"/>
  <c r="V47" i="1"/>
  <c r="V34" i="1"/>
  <c r="V33" i="1"/>
  <c r="V32" i="1"/>
  <c r="V31" i="1"/>
  <c r="V30" i="1"/>
  <c r="V29" i="1"/>
  <c r="L54" i="1"/>
  <c r="CT54" i="1" l="1"/>
  <c r="CQ54" i="1" s="1"/>
  <c r="U54" i="1" l="1"/>
  <c r="S87" i="1"/>
  <c r="R87" i="1"/>
  <c r="S34" i="1"/>
  <c r="R34" i="1"/>
  <c r="S33" i="1"/>
  <c r="R33" i="1"/>
  <c r="R32" i="1"/>
  <c r="R30" i="1"/>
  <c r="R31" i="1"/>
  <c r="S81" i="1"/>
  <c r="R81" i="1"/>
  <c r="S80" i="1"/>
  <c r="R80" i="1"/>
  <c r="S79" i="1"/>
  <c r="R79" i="1"/>
  <c r="S77" i="1"/>
  <c r="R77" i="1"/>
  <c r="S78" i="1"/>
  <c r="R78" i="1"/>
  <c r="S76" i="1"/>
  <c r="R76" i="1"/>
  <c r="R29" i="1"/>
  <c r="S90" i="1"/>
  <c r="R90" i="1"/>
  <c r="S89" i="1"/>
  <c r="R89" i="1"/>
  <c r="S86" i="1"/>
  <c r="R86" i="1"/>
  <c r="S91" i="1"/>
  <c r="R91" i="1"/>
  <c r="S66" i="1"/>
  <c r="R66" i="1"/>
  <c r="S65" i="1"/>
  <c r="R65" i="1"/>
  <c r="S64" i="1"/>
  <c r="R64" i="1"/>
  <c r="S63" i="1"/>
  <c r="R63" i="1"/>
  <c r="S62" i="1"/>
  <c r="R62" i="1"/>
  <c r="S61" i="1"/>
  <c r="R61" i="1"/>
  <c r="S60" i="1"/>
  <c r="R60" i="1"/>
  <c r="S59" i="1"/>
  <c r="R59" i="1"/>
  <c r="S58" i="1"/>
  <c r="R58" i="1"/>
  <c r="S57" i="1"/>
  <c r="R57" i="1"/>
  <c r="S56" i="1"/>
  <c r="R56" i="1"/>
  <c r="S55" i="1"/>
  <c r="R55" i="1"/>
  <c r="S54" i="1"/>
  <c r="R54" i="1"/>
  <c r="S53" i="1"/>
  <c r="R53" i="1"/>
  <c r="R92" i="1"/>
  <c r="R75" i="1"/>
  <c r="R74" i="1"/>
  <c r="R72" i="1"/>
  <c r="R71" i="1"/>
  <c r="R70" i="1"/>
  <c r="R73" i="1"/>
  <c r="R68" i="1"/>
  <c r="R67" i="1"/>
  <c r="R69" i="1"/>
  <c r="S52" i="1" l="1"/>
  <c r="CU34" i="1"/>
  <c r="CQ34" i="1" s="1"/>
  <c r="AS34" i="1"/>
  <c r="AI34" i="1"/>
  <c r="X34" i="1"/>
  <c r="X35" i="1"/>
  <c r="X36" i="1"/>
  <c r="X37" i="1"/>
  <c r="X38" i="1"/>
  <c r="X39" i="1"/>
  <c r="X40" i="1"/>
  <c r="X41" i="1"/>
  <c r="X42" i="1"/>
  <c r="X43" i="1"/>
  <c r="X44" i="1"/>
  <c r="X45" i="1"/>
  <c r="X46" i="1"/>
  <c r="X49" i="1"/>
  <c r="O28" i="1"/>
  <c r="P28" i="1"/>
  <c r="Q28" i="1"/>
  <c r="R28" i="1"/>
  <c r="S28" i="1"/>
  <c r="T28" i="1"/>
  <c r="Y28" i="1"/>
  <c r="Z28" i="1"/>
  <c r="AA28" i="1"/>
  <c r="AB28" i="1"/>
  <c r="AC28" i="1"/>
  <c r="AE28" i="1"/>
  <c r="AF28" i="1"/>
  <c r="AG28" i="1"/>
  <c r="AH28" i="1"/>
  <c r="AJ28" i="1"/>
  <c r="AK28" i="1"/>
  <c r="AL28" i="1"/>
  <c r="AM28" i="1"/>
  <c r="AN28" i="1"/>
  <c r="AO28" i="1"/>
  <c r="AP28" i="1"/>
  <c r="AQ28" i="1"/>
  <c r="AR28" i="1"/>
  <c r="AT28" i="1"/>
  <c r="AU28" i="1"/>
  <c r="AV28" i="1"/>
  <c r="AX28" i="1"/>
  <c r="AY28" i="1"/>
  <c r="AZ28" i="1"/>
  <c r="BA28" i="1"/>
  <c r="BB28" i="1"/>
  <c r="BD28" i="1"/>
  <c r="BE28" i="1"/>
  <c r="BF28" i="1"/>
  <c r="BG28" i="1"/>
  <c r="BH28" i="1"/>
  <c r="BI28" i="1"/>
  <c r="BJ28" i="1"/>
  <c r="BK28" i="1"/>
  <c r="BL28" i="1"/>
  <c r="BN28" i="1"/>
  <c r="BO28" i="1"/>
  <c r="BP28" i="1"/>
  <c r="BQ28" i="1"/>
  <c r="BS28" i="1"/>
  <c r="BT28" i="1"/>
  <c r="BU28" i="1"/>
  <c r="BV28" i="1"/>
  <c r="BX28" i="1"/>
  <c r="BY28" i="1"/>
  <c r="BZ28" i="1"/>
  <c r="CA28" i="1"/>
  <c r="CB28" i="1"/>
  <c r="CC28" i="1"/>
  <c r="CD28" i="1"/>
  <c r="CE28" i="1"/>
  <c r="CF28" i="1"/>
  <c r="CH28" i="1"/>
  <c r="CI28" i="1"/>
  <c r="CJ28" i="1"/>
  <c r="CK28" i="1"/>
  <c r="CR28" i="1"/>
  <c r="CS28" i="1"/>
  <c r="CT28" i="1"/>
  <c r="N23" i="1"/>
  <c r="V28" i="1" l="1"/>
  <c r="U34" i="1"/>
  <c r="L34" i="1"/>
  <c r="N34" i="1" l="1"/>
  <c r="K116" i="1" l="1"/>
  <c r="K110" i="1" s="1"/>
  <c r="C14" i="1" l="1"/>
  <c r="D14" i="1" s="1"/>
  <c r="E14" i="1" s="1"/>
  <c r="F14" i="1" s="1"/>
  <c r="G14" i="1" s="1"/>
  <c r="H14" i="1" s="1"/>
  <c r="I14" i="1" s="1"/>
  <c r="J14" i="1" s="1"/>
  <c r="K14" i="1" s="1"/>
  <c r="L14" i="1" s="1"/>
  <c r="M14" i="1" s="1"/>
  <c r="N14" i="1" s="1"/>
  <c r="O14" i="1" s="1"/>
  <c r="P14" i="1" s="1"/>
  <c r="Q14" i="1" s="1"/>
  <c r="R14" i="1" s="1"/>
  <c r="S14" i="1" s="1"/>
  <c r="T14" i="1" s="1"/>
  <c r="U14" i="1" s="1"/>
  <c r="V14" i="1" s="1"/>
  <c r="W14" i="1" s="1"/>
  <c r="X14" i="1" s="1"/>
  <c r="Y14" i="1" s="1"/>
  <c r="Z14" i="1" s="1"/>
  <c r="AA14" i="1" s="1"/>
  <c r="AB14" i="1" s="1"/>
  <c r="AC14" i="1" s="1"/>
  <c r="AD14" i="1" s="1"/>
  <c r="AE14" i="1" s="1"/>
  <c r="AF14" i="1" s="1"/>
  <c r="AG14" i="1" s="1"/>
  <c r="AH14" i="1" s="1"/>
  <c r="AI14" i="1" s="1"/>
  <c r="AJ14" i="1" s="1"/>
  <c r="AK14" i="1" s="1"/>
  <c r="AL14" i="1" s="1"/>
  <c r="AM14" i="1" s="1"/>
  <c r="AN14" i="1" s="1"/>
  <c r="AO14" i="1" s="1"/>
  <c r="AP14" i="1" s="1"/>
  <c r="AQ14" i="1" s="1"/>
  <c r="AR14" i="1" s="1"/>
  <c r="AS14" i="1" s="1"/>
  <c r="AT14" i="1" s="1"/>
  <c r="AU14" i="1" s="1"/>
  <c r="AV14" i="1" s="1"/>
  <c r="AW14" i="1" s="1"/>
  <c r="AX14" i="1" s="1"/>
  <c r="AY14" i="1" s="1"/>
  <c r="AZ14" i="1" s="1"/>
  <c r="BA14" i="1" s="1"/>
  <c r="BB14" i="1" s="1"/>
  <c r="BC14" i="1" s="1"/>
  <c r="BD14" i="1" s="1"/>
  <c r="BE14" i="1" s="1"/>
  <c r="BF14" i="1" s="1"/>
  <c r="BG14" i="1" s="1"/>
  <c r="BH14" i="1" s="1"/>
  <c r="BI14" i="1" s="1"/>
  <c r="BJ14" i="1" s="1"/>
  <c r="BK14" i="1" s="1"/>
  <c r="BL14" i="1" s="1"/>
  <c r="BM14" i="1" s="1"/>
  <c r="BN14" i="1" s="1"/>
  <c r="BO14" i="1" s="1"/>
  <c r="BP14" i="1" s="1"/>
  <c r="BQ14" i="1" s="1"/>
  <c r="BR14" i="1" s="1"/>
  <c r="BS14" i="1" s="1"/>
  <c r="BT14" i="1" s="1"/>
  <c r="BU14" i="1" s="1"/>
  <c r="BV14" i="1" s="1"/>
  <c r="BW14" i="1" s="1"/>
  <c r="BX14" i="1" s="1"/>
  <c r="BY14" i="1" s="1"/>
  <c r="BZ14" i="1" s="1"/>
  <c r="CA14" i="1" s="1"/>
  <c r="CB14" i="1" s="1"/>
  <c r="CC14" i="1" s="1"/>
  <c r="CD14" i="1" s="1"/>
  <c r="CE14" i="1" s="1"/>
  <c r="CF14" i="1" s="1"/>
  <c r="CG14" i="1" s="1"/>
  <c r="CH14" i="1" s="1"/>
  <c r="CI14" i="1" s="1"/>
  <c r="CJ14" i="1" s="1"/>
  <c r="CK14" i="1" s="1"/>
  <c r="X113" i="1"/>
  <c r="X114" i="1"/>
  <c r="X115" i="1"/>
  <c r="X116" i="1"/>
  <c r="X117" i="1"/>
  <c r="X118" i="1"/>
  <c r="X119" i="1"/>
  <c r="X120" i="1"/>
  <c r="X121" i="1"/>
  <c r="X122" i="1"/>
  <c r="X123" i="1"/>
  <c r="X90" i="1"/>
  <c r="X92" i="1"/>
  <c r="X89" i="1"/>
  <c r="X87" i="1"/>
  <c r="X85" i="1"/>
  <c r="X54" i="1"/>
  <c r="X61" i="1"/>
  <c r="X67" i="1"/>
  <c r="X68" i="1"/>
  <c r="X69" i="1"/>
  <c r="X70" i="1"/>
  <c r="X71" i="1"/>
  <c r="X72" i="1"/>
  <c r="X73" i="1"/>
  <c r="X74" i="1"/>
  <c r="X75" i="1"/>
  <c r="X76" i="1"/>
  <c r="X77" i="1"/>
  <c r="X78" i="1"/>
  <c r="X53" i="1"/>
  <c r="X30" i="1"/>
  <c r="X31" i="1"/>
  <c r="X32" i="1"/>
  <c r="X29" i="1"/>
  <c r="T25" i="1"/>
  <c r="R18" i="1"/>
  <c r="S18" i="1"/>
  <c r="R19" i="1"/>
  <c r="S19" i="1"/>
  <c r="R20" i="1"/>
  <c r="S20" i="1"/>
  <c r="R52" i="1"/>
  <c r="R51" i="1" s="1"/>
  <c r="S51" i="1"/>
  <c r="R84" i="1"/>
  <c r="S84" i="1"/>
  <c r="R88" i="1"/>
  <c r="S88" i="1"/>
  <c r="Q110" i="1"/>
  <c r="R110" i="1"/>
  <c r="R21" i="1" s="1"/>
  <c r="S110" i="1"/>
  <c r="S21" i="1" s="1"/>
  <c r="P110" i="1"/>
  <c r="L116" i="1"/>
  <c r="L115" i="1"/>
  <c r="L114" i="1"/>
  <c r="M112" i="1"/>
  <c r="M113" i="1"/>
  <c r="M111" i="1"/>
  <c r="L112" i="1"/>
  <c r="L113" i="1"/>
  <c r="L111" i="1"/>
  <c r="L92" i="1"/>
  <c r="L73" i="1"/>
  <c r="L74" i="1"/>
  <c r="L75" i="1"/>
  <c r="L70" i="1"/>
  <c r="L71" i="1"/>
  <c r="L72" i="1"/>
  <c r="L69" i="1"/>
  <c r="L68" i="1"/>
  <c r="L67" i="1"/>
  <c r="AW33" i="1"/>
  <c r="AS35" i="1"/>
  <c r="AS36" i="1"/>
  <c r="AS37" i="1"/>
  <c r="AS38" i="1"/>
  <c r="AS39" i="1"/>
  <c r="AS40" i="1"/>
  <c r="AS41" i="1"/>
  <c r="AS42" i="1"/>
  <c r="AS43" i="1"/>
  <c r="AS44" i="1"/>
  <c r="AS45" i="1"/>
  <c r="AS46" i="1"/>
  <c r="AS48" i="1"/>
  <c r="AS49" i="1"/>
  <c r="AI33" i="1"/>
  <c r="R25" i="1"/>
  <c r="R24" i="1" s="1"/>
  <c r="S25" i="1"/>
  <c r="S24" i="1" s="1"/>
  <c r="CM14" i="1" l="1"/>
  <c r="CN14" i="1" s="1"/>
  <c r="CO14" i="1" s="1"/>
  <c r="CP14" i="1" s="1"/>
  <c r="CQ14" i="1" s="1"/>
  <c r="CR14" i="1" s="1"/>
  <c r="CS14" i="1" s="1"/>
  <c r="CT14" i="1" s="1"/>
  <c r="CU14" i="1" s="1"/>
  <c r="CV14" i="1" s="1"/>
  <c r="V25" i="1"/>
  <c r="AW28" i="1"/>
  <c r="M110" i="1"/>
  <c r="R83" i="1"/>
  <c r="R50" i="1" s="1"/>
  <c r="R17" i="1" s="1"/>
  <c r="S83" i="1"/>
  <c r="S50" i="1" s="1"/>
  <c r="S17" i="1" s="1"/>
  <c r="S16" i="1"/>
  <c r="R16" i="1"/>
  <c r="X33" i="1"/>
  <c r="AS33" i="1"/>
  <c r="CU33" i="1"/>
  <c r="L33" i="1" s="1"/>
  <c r="H110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93" i="1"/>
  <c r="M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93" i="1"/>
  <c r="M90" i="1"/>
  <c r="M91" i="1"/>
  <c r="M92" i="1"/>
  <c r="M89" i="1"/>
  <c r="L90" i="1"/>
  <c r="L91" i="1"/>
  <c r="K90" i="1"/>
  <c r="K92" i="1"/>
  <c r="L87" i="1"/>
  <c r="K87" i="1"/>
  <c r="I84" i="1"/>
  <c r="L86" i="1"/>
  <c r="M86" i="1"/>
  <c r="M84" i="1" s="1"/>
  <c r="M56" i="1"/>
  <c r="M57" i="1"/>
  <c r="M58" i="1"/>
  <c r="M59" i="1"/>
  <c r="M60" i="1"/>
  <c r="M61" i="1"/>
  <c r="M62" i="1"/>
  <c r="M63" i="1"/>
  <c r="M64" i="1"/>
  <c r="M65" i="1"/>
  <c r="M66" i="1"/>
  <c r="M76" i="1"/>
  <c r="M77" i="1"/>
  <c r="M78" i="1"/>
  <c r="M79" i="1"/>
  <c r="M80" i="1"/>
  <c r="M81" i="1"/>
  <c r="L62" i="1"/>
  <c r="L63" i="1"/>
  <c r="L64" i="1"/>
  <c r="L66" i="1"/>
  <c r="L76" i="1"/>
  <c r="K66" i="1"/>
  <c r="M55" i="1"/>
  <c r="N33" i="1" l="1"/>
  <c r="X28" i="1"/>
  <c r="X25" i="1" s="1"/>
  <c r="X24" i="1" s="1"/>
  <c r="X16" i="1" s="1"/>
  <c r="R15" i="1"/>
  <c r="S23" i="1"/>
  <c r="S15" i="1"/>
  <c r="CQ33" i="1"/>
  <c r="U33" i="1"/>
  <c r="R23" i="1"/>
  <c r="L84" i="1"/>
  <c r="M83" i="1"/>
  <c r="N28" i="1" l="1"/>
  <c r="K54" i="1"/>
  <c r="M53" i="1"/>
  <c r="M52" i="1" s="1"/>
  <c r="CR110" i="1" l="1"/>
  <c r="CR21" i="1" s="1"/>
  <c r="CS110" i="1"/>
  <c r="CS21" i="1" s="1"/>
  <c r="CU110" i="1"/>
  <c r="CU21" i="1" s="1"/>
  <c r="CT25" i="1"/>
  <c r="CT24" i="1" s="1"/>
  <c r="CT16" i="1" s="1"/>
  <c r="CT113" i="1"/>
  <c r="CT114" i="1"/>
  <c r="CT115" i="1"/>
  <c r="CT116" i="1"/>
  <c r="CT117" i="1"/>
  <c r="CT118" i="1"/>
  <c r="CQ118" i="1" s="1"/>
  <c r="CT119" i="1"/>
  <c r="CT120" i="1"/>
  <c r="CQ120" i="1" s="1"/>
  <c r="CT121" i="1"/>
  <c r="CT122" i="1"/>
  <c r="CQ122" i="1" s="1"/>
  <c r="CT123" i="1"/>
  <c r="CQ123" i="1" s="1"/>
  <c r="CP110" i="1"/>
  <c r="CS94" i="1"/>
  <c r="CS95" i="1"/>
  <c r="CS96" i="1"/>
  <c r="CS97" i="1"/>
  <c r="CS98" i="1"/>
  <c r="CS99" i="1"/>
  <c r="CS100" i="1"/>
  <c r="CS101" i="1"/>
  <c r="CS102" i="1"/>
  <c r="CS103" i="1"/>
  <c r="CS104" i="1"/>
  <c r="CS105" i="1"/>
  <c r="CS106" i="1"/>
  <c r="CS107" i="1"/>
  <c r="CS108" i="1"/>
  <c r="CS109" i="1"/>
  <c r="CS93" i="1"/>
  <c r="CR94" i="1"/>
  <c r="CR95" i="1"/>
  <c r="CR96" i="1"/>
  <c r="CR97" i="1"/>
  <c r="CR98" i="1"/>
  <c r="CR99" i="1"/>
  <c r="CR100" i="1"/>
  <c r="CR101" i="1"/>
  <c r="CR102" i="1"/>
  <c r="CR103" i="1"/>
  <c r="CR104" i="1"/>
  <c r="CR105" i="1"/>
  <c r="CR106" i="1"/>
  <c r="CR107" i="1"/>
  <c r="CR108" i="1"/>
  <c r="CR109" i="1"/>
  <c r="CR93" i="1"/>
  <c r="CU94" i="1"/>
  <c r="CU95" i="1"/>
  <c r="CU96" i="1"/>
  <c r="CU97" i="1"/>
  <c r="CU98" i="1"/>
  <c r="CU99" i="1"/>
  <c r="CU100" i="1"/>
  <c r="CU101" i="1"/>
  <c r="CU102" i="1"/>
  <c r="CU103" i="1"/>
  <c r="CU104" i="1"/>
  <c r="CU105" i="1"/>
  <c r="CU106" i="1"/>
  <c r="CU107" i="1"/>
  <c r="CU108" i="1"/>
  <c r="CU109" i="1"/>
  <c r="CU93" i="1"/>
  <c r="CO93" i="1"/>
  <c r="CT93" i="1" s="1"/>
  <c r="CT90" i="1"/>
  <c r="CT92" i="1"/>
  <c r="CT89" i="1"/>
  <c r="CR88" i="1"/>
  <c r="CS88" i="1"/>
  <c r="CU88" i="1"/>
  <c r="CP88" i="1"/>
  <c r="CR84" i="1"/>
  <c r="CS84" i="1"/>
  <c r="CU84" i="1"/>
  <c r="CT87" i="1"/>
  <c r="CT85" i="1"/>
  <c r="CT61" i="1"/>
  <c r="U61" i="1" s="1"/>
  <c r="CT67" i="1"/>
  <c r="CT68" i="1"/>
  <c r="CT69" i="1"/>
  <c r="CT70" i="1"/>
  <c r="CT71" i="1"/>
  <c r="CT72" i="1"/>
  <c r="CT73" i="1"/>
  <c r="CT74" i="1"/>
  <c r="CT75" i="1"/>
  <c r="CT76" i="1"/>
  <c r="CT77" i="1"/>
  <c r="U77" i="1" s="1"/>
  <c r="CT78" i="1"/>
  <c r="CT53" i="1"/>
  <c r="CR52" i="1"/>
  <c r="CR51" i="1" s="1"/>
  <c r="CS52" i="1"/>
  <c r="CS51" i="1" s="1"/>
  <c r="CU52" i="1"/>
  <c r="CU51" i="1" s="1"/>
  <c r="CU30" i="1"/>
  <c r="U30" i="1" s="1"/>
  <c r="CU31" i="1"/>
  <c r="U31" i="1" s="1"/>
  <c r="CU32" i="1"/>
  <c r="CU35" i="1"/>
  <c r="U35" i="1" s="1"/>
  <c r="CU36" i="1"/>
  <c r="U36" i="1" s="1"/>
  <c r="CU37" i="1"/>
  <c r="U37" i="1" s="1"/>
  <c r="CU38" i="1"/>
  <c r="U38" i="1" s="1"/>
  <c r="CU39" i="1"/>
  <c r="U39" i="1" s="1"/>
  <c r="CU40" i="1"/>
  <c r="U40" i="1" s="1"/>
  <c r="CU41" i="1"/>
  <c r="U41" i="1" s="1"/>
  <c r="CU42" i="1"/>
  <c r="U42" i="1" s="1"/>
  <c r="CU43" i="1"/>
  <c r="U43" i="1" s="1"/>
  <c r="CU44" i="1"/>
  <c r="U44" i="1" s="1"/>
  <c r="CU45" i="1"/>
  <c r="U45" i="1" s="1"/>
  <c r="CU46" i="1"/>
  <c r="U46" i="1" s="1"/>
  <c r="CU48" i="1"/>
  <c r="CU49" i="1"/>
  <c r="U49" i="1" s="1"/>
  <c r="CU29" i="1"/>
  <c r="CP29" i="1"/>
  <c r="CP28" i="1" s="1"/>
  <c r="CR25" i="1"/>
  <c r="CR24" i="1" s="1"/>
  <c r="CR16" i="1" s="1"/>
  <c r="CS25" i="1"/>
  <c r="CS24" i="1" s="1"/>
  <c r="CS16" i="1" s="1"/>
  <c r="CJ111" i="1"/>
  <c r="CF110" i="1"/>
  <c r="CG113" i="1"/>
  <c r="CG114" i="1"/>
  <c r="CG115" i="1"/>
  <c r="CG116" i="1"/>
  <c r="CG117" i="1"/>
  <c r="CG118" i="1"/>
  <c r="CG119" i="1"/>
  <c r="CG120" i="1"/>
  <c r="CG121" i="1"/>
  <c r="CG122" i="1"/>
  <c r="CG123" i="1"/>
  <c r="CH110" i="1"/>
  <c r="CH21" i="1" s="1"/>
  <c r="CI110" i="1"/>
  <c r="CI21" i="1" s="1"/>
  <c r="CK110" i="1"/>
  <c r="CK21" i="1" s="1"/>
  <c r="CG90" i="1"/>
  <c r="CG92" i="1"/>
  <c r="CG89" i="1"/>
  <c r="CH88" i="1"/>
  <c r="CI88" i="1"/>
  <c r="CK88" i="1"/>
  <c r="CG87" i="1"/>
  <c r="CG85" i="1"/>
  <c r="CH84" i="1"/>
  <c r="CI84" i="1"/>
  <c r="CK84" i="1"/>
  <c r="CJ81" i="1"/>
  <c r="CJ66" i="1"/>
  <c r="CG54" i="1"/>
  <c r="CG55" i="1"/>
  <c r="CG56" i="1"/>
  <c r="CG57" i="1"/>
  <c r="CG58" i="1"/>
  <c r="CG59" i="1"/>
  <c r="CG61" i="1"/>
  <c r="CG62" i="1"/>
  <c r="CG64" i="1"/>
  <c r="CG67" i="1"/>
  <c r="CG68" i="1"/>
  <c r="CG69" i="1"/>
  <c r="CG70" i="1"/>
  <c r="CG71" i="1"/>
  <c r="CG72" i="1"/>
  <c r="CG73" i="1"/>
  <c r="CG74" i="1"/>
  <c r="CG75" i="1"/>
  <c r="CG76" i="1"/>
  <c r="CG77" i="1"/>
  <c r="CG78" i="1"/>
  <c r="CG79" i="1"/>
  <c r="CG80" i="1"/>
  <c r="CG53" i="1"/>
  <c r="CI52" i="1"/>
  <c r="CI51" i="1" s="1"/>
  <c r="CK52" i="1"/>
  <c r="CK51" i="1" s="1"/>
  <c r="CH52" i="1"/>
  <c r="CH51" i="1" s="1"/>
  <c r="CG30" i="1"/>
  <c r="CG31" i="1"/>
  <c r="CG32" i="1"/>
  <c r="CG29" i="1"/>
  <c r="CH25" i="1"/>
  <c r="CH24" i="1" s="1"/>
  <c r="CH16" i="1" s="1"/>
  <c r="CI25" i="1"/>
  <c r="CI24" i="1" s="1"/>
  <c r="CI16" i="1" s="1"/>
  <c r="CJ25" i="1"/>
  <c r="CJ24" i="1" s="1"/>
  <c r="CK25" i="1"/>
  <c r="CK24" i="1" s="1"/>
  <c r="BR112" i="1"/>
  <c r="BR113" i="1"/>
  <c r="BR114" i="1"/>
  <c r="BR115" i="1"/>
  <c r="BR116" i="1"/>
  <c r="BR117" i="1"/>
  <c r="BR111" i="1"/>
  <c r="BW120" i="1"/>
  <c r="BW121" i="1"/>
  <c r="BW122" i="1"/>
  <c r="BW123" i="1"/>
  <c r="BW116" i="1"/>
  <c r="BW117" i="1"/>
  <c r="BW118" i="1"/>
  <c r="BW119" i="1"/>
  <c r="BW112" i="1"/>
  <c r="BW113" i="1"/>
  <c r="BW114" i="1"/>
  <c r="BW115" i="1"/>
  <c r="BW111" i="1"/>
  <c r="BX110" i="1"/>
  <c r="BX21" i="1" s="1"/>
  <c r="BY110" i="1"/>
  <c r="BY21" i="1" s="1"/>
  <c r="BZ110" i="1"/>
  <c r="BZ21" i="1" s="1"/>
  <c r="CA110" i="1"/>
  <c r="CA21" i="1" s="1"/>
  <c r="BW90" i="1"/>
  <c r="BW91" i="1"/>
  <c r="BW92" i="1"/>
  <c r="BW89" i="1"/>
  <c r="BX88" i="1"/>
  <c r="BY88" i="1"/>
  <c r="BZ88" i="1"/>
  <c r="CA88" i="1"/>
  <c r="BW87" i="1"/>
  <c r="BW85" i="1"/>
  <c r="BX84" i="1"/>
  <c r="BY84" i="1"/>
  <c r="CA84" i="1"/>
  <c r="BZ80" i="1"/>
  <c r="BZ60" i="1"/>
  <c r="BW77" i="1"/>
  <c r="BW78" i="1"/>
  <c r="BW79" i="1"/>
  <c r="BW81" i="1"/>
  <c r="BW71" i="1"/>
  <c r="BW72" i="1"/>
  <c r="BW73" i="1"/>
  <c r="BW74" i="1"/>
  <c r="BW75" i="1"/>
  <c r="BW76" i="1"/>
  <c r="BW68" i="1"/>
  <c r="BW69" i="1"/>
  <c r="BW70" i="1"/>
  <c r="BW63" i="1"/>
  <c r="BW65" i="1"/>
  <c r="BW66" i="1"/>
  <c r="BW67" i="1"/>
  <c r="BW58" i="1"/>
  <c r="BW61" i="1"/>
  <c r="BW62" i="1"/>
  <c r="BW54" i="1"/>
  <c r="BW56" i="1"/>
  <c r="BW57" i="1"/>
  <c r="BW53" i="1"/>
  <c r="BX52" i="1"/>
  <c r="BX51" i="1" s="1"/>
  <c r="BY52" i="1"/>
  <c r="BY51" i="1" s="1"/>
  <c r="CA52" i="1"/>
  <c r="CA51" i="1" s="1"/>
  <c r="BW30" i="1"/>
  <c r="BW31" i="1"/>
  <c r="BW32" i="1"/>
  <c r="BW29" i="1"/>
  <c r="BR30" i="1"/>
  <c r="BR31" i="1"/>
  <c r="BR32" i="1"/>
  <c r="BR29" i="1"/>
  <c r="BX25" i="1"/>
  <c r="BX24" i="1" s="1"/>
  <c r="BZ25" i="1"/>
  <c r="BZ24" i="1" s="1"/>
  <c r="CA25" i="1"/>
  <c r="CA24" i="1" s="1"/>
  <c r="BY25" i="1"/>
  <c r="BY24" i="1" s="1"/>
  <c r="CT80" i="1" l="1"/>
  <c r="U80" i="1" s="1"/>
  <c r="CT66" i="1"/>
  <c r="CQ66" i="1" s="1"/>
  <c r="U118" i="1"/>
  <c r="U120" i="1"/>
  <c r="U123" i="1"/>
  <c r="U122" i="1"/>
  <c r="CQ116" i="1"/>
  <c r="CQ115" i="1"/>
  <c r="BR28" i="1"/>
  <c r="CG28" i="1"/>
  <c r="CG25" i="1" s="1"/>
  <c r="CG24" i="1" s="1"/>
  <c r="CG16" i="1" s="1"/>
  <c r="CQ61" i="1"/>
  <c r="U32" i="1"/>
  <c r="L32" i="1"/>
  <c r="U29" i="1"/>
  <c r="CU28" i="1"/>
  <c r="CU25" i="1" s="1"/>
  <c r="CU24" i="1" s="1"/>
  <c r="CU16" i="1" s="1"/>
  <c r="BW28" i="1"/>
  <c r="BW25" i="1" s="1"/>
  <c r="BW24" i="1" s="1"/>
  <c r="BW16" i="1" s="1"/>
  <c r="CQ67" i="1"/>
  <c r="CQ89" i="1"/>
  <c r="U89" i="1"/>
  <c r="CQ114" i="1"/>
  <c r="CQ113" i="1"/>
  <c r="U113" i="1"/>
  <c r="L123" i="1"/>
  <c r="BW80" i="1"/>
  <c r="X80" i="1"/>
  <c r="L122" i="1"/>
  <c r="CQ53" i="1"/>
  <c r="CQ90" i="1"/>
  <c r="U90" i="1"/>
  <c r="BW60" i="1"/>
  <c r="CQ76" i="1"/>
  <c r="U76" i="1"/>
  <c r="CQ121" i="1"/>
  <c r="CG66" i="1"/>
  <c r="X66" i="1"/>
  <c r="CQ75" i="1"/>
  <c r="L120" i="1"/>
  <c r="CG81" i="1"/>
  <c r="X81" i="1"/>
  <c r="CQ74" i="1"/>
  <c r="CQ77" i="1"/>
  <c r="CQ87" i="1"/>
  <c r="L119" i="1"/>
  <c r="CQ73" i="1"/>
  <c r="L118" i="1"/>
  <c r="CQ72" i="1"/>
  <c r="CQ71" i="1"/>
  <c r="L117" i="1"/>
  <c r="CQ85" i="1"/>
  <c r="CG111" i="1"/>
  <c r="X111" i="1"/>
  <c r="CQ69" i="1"/>
  <c r="CQ92" i="1"/>
  <c r="CQ78" i="1"/>
  <c r="U78" i="1"/>
  <c r="CQ29" i="1"/>
  <c r="CQ70" i="1"/>
  <c r="CQ68" i="1"/>
  <c r="CT111" i="1"/>
  <c r="U111" i="1" s="1"/>
  <c r="CH83" i="1"/>
  <c r="CH50" i="1" s="1"/>
  <c r="CH17" i="1" s="1"/>
  <c r="CH15" i="1" s="1"/>
  <c r="L29" i="1"/>
  <c r="CT81" i="1"/>
  <c r="CQ119" i="1"/>
  <c r="CS83" i="1"/>
  <c r="CS50" i="1" s="1"/>
  <c r="CS17" i="1" s="1"/>
  <c r="CS15" i="1" s="1"/>
  <c r="CQ117" i="1"/>
  <c r="CQ31" i="1"/>
  <c r="L31" i="1"/>
  <c r="CQ30" i="1"/>
  <c r="L30" i="1"/>
  <c r="CQ32" i="1"/>
  <c r="CQ93" i="1"/>
  <c r="CU83" i="1"/>
  <c r="CU50" i="1" s="1"/>
  <c r="CU17" i="1" s="1"/>
  <c r="CR83" i="1"/>
  <c r="CR50" i="1" s="1"/>
  <c r="CR17" i="1" s="1"/>
  <c r="CR15" i="1" s="1"/>
  <c r="CK83" i="1"/>
  <c r="CK50" i="1" s="1"/>
  <c r="CK17" i="1" s="1"/>
  <c r="CI83" i="1"/>
  <c r="CI50" i="1" s="1"/>
  <c r="CI17" i="1" s="1"/>
  <c r="CI15" i="1" s="1"/>
  <c r="CJ16" i="1"/>
  <c r="CK16" i="1"/>
  <c r="BY83" i="1"/>
  <c r="BY50" i="1" s="1"/>
  <c r="BY17" i="1" s="1"/>
  <c r="CA83" i="1"/>
  <c r="CA50" i="1" s="1"/>
  <c r="CA17" i="1" s="1"/>
  <c r="BW88" i="1"/>
  <c r="BW110" i="1"/>
  <c r="BW21" i="1" s="1"/>
  <c r="BX83" i="1"/>
  <c r="BX50" i="1" s="1"/>
  <c r="CA16" i="1"/>
  <c r="BZ16" i="1"/>
  <c r="BY16" i="1"/>
  <c r="BX16" i="1"/>
  <c r="BM112" i="1"/>
  <c r="BM113" i="1"/>
  <c r="BM114" i="1"/>
  <c r="BM115" i="1"/>
  <c r="BM116" i="1"/>
  <c r="BM117" i="1"/>
  <c r="BM118" i="1"/>
  <c r="BM119" i="1"/>
  <c r="BM120" i="1"/>
  <c r="BM121" i="1"/>
  <c r="BM122" i="1"/>
  <c r="BM123" i="1"/>
  <c r="BM111" i="1"/>
  <c r="BH112" i="1"/>
  <c r="BH113" i="1"/>
  <c r="BH114" i="1"/>
  <c r="BH115" i="1"/>
  <c r="BH116" i="1"/>
  <c r="BH117" i="1"/>
  <c r="BH111" i="1"/>
  <c r="BN110" i="1"/>
  <c r="BO110" i="1"/>
  <c r="BP110" i="1"/>
  <c r="BQ110" i="1"/>
  <c r="BM90" i="1"/>
  <c r="BM91" i="1"/>
  <c r="BM92" i="1"/>
  <c r="BM89" i="1"/>
  <c r="BN88" i="1"/>
  <c r="BO88" i="1"/>
  <c r="BP88" i="1"/>
  <c r="BQ88" i="1"/>
  <c r="BH86" i="1"/>
  <c r="BM86" i="1"/>
  <c r="BM87" i="1"/>
  <c r="BM85" i="1"/>
  <c r="BN84" i="1"/>
  <c r="BO84" i="1"/>
  <c r="BP84" i="1"/>
  <c r="BQ84" i="1"/>
  <c r="BM54" i="1"/>
  <c r="BM59" i="1"/>
  <c r="BM60" i="1"/>
  <c r="BM61" i="1"/>
  <c r="BM63" i="1"/>
  <c r="BM64" i="1"/>
  <c r="BM65" i="1"/>
  <c r="BM66" i="1"/>
  <c r="BM67" i="1"/>
  <c r="BM68" i="1"/>
  <c r="BM69" i="1"/>
  <c r="BM70" i="1"/>
  <c r="BM71" i="1"/>
  <c r="BM72" i="1"/>
  <c r="BM73" i="1"/>
  <c r="BM74" i="1"/>
  <c r="BM75" i="1"/>
  <c r="BM76" i="1"/>
  <c r="BM77" i="1"/>
  <c r="BM78" i="1"/>
  <c r="BM80" i="1"/>
  <c r="BM81" i="1"/>
  <c r="BM53" i="1"/>
  <c r="BN52" i="1"/>
  <c r="BN51" i="1" s="1"/>
  <c r="BO52" i="1"/>
  <c r="BO51" i="1" s="1"/>
  <c r="BQ52" i="1"/>
  <c r="BQ51" i="1" s="1"/>
  <c r="BM30" i="1"/>
  <c r="BM31" i="1"/>
  <c r="BM32" i="1"/>
  <c r="BM29" i="1"/>
  <c r="CQ80" i="1" l="1"/>
  <c r="U66" i="1"/>
  <c r="U85" i="1"/>
  <c r="U121" i="1"/>
  <c r="U87" i="1"/>
  <c r="U114" i="1"/>
  <c r="U116" i="1"/>
  <c r="U72" i="1"/>
  <c r="U73" i="1"/>
  <c r="U71" i="1"/>
  <c r="U117" i="1"/>
  <c r="U119" i="1"/>
  <c r="U74" i="1"/>
  <c r="U115" i="1"/>
  <c r="U69" i="1"/>
  <c r="U67" i="1"/>
  <c r="U70" i="1"/>
  <c r="U75" i="1"/>
  <c r="U92" i="1"/>
  <c r="U28" i="1"/>
  <c r="U25" i="1" s="1"/>
  <c r="U24" i="1" s="1"/>
  <c r="U16" i="1" s="1"/>
  <c r="CQ28" i="1"/>
  <c r="BM28" i="1"/>
  <c r="BM25" i="1" s="1"/>
  <c r="BM24" i="1" s="1"/>
  <c r="L28" i="1"/>
  <c r="CQ81" i="1"/>
  <c r="U81" i="1"/>
  <c r="CI23" i="1"/>
  <c r="CQ25" i="1"/>
  <c r="CQ111" i="1"/>
  <c r="CR23" i="1"/>
  <c r="CS23" i="1"/>
  <c r="CU15" i="1"/>
  <c r="CU23" i="1"/>
  <c r="CH23" i="1"/>
  <c r="CK15" i="1"/>
  <c r="CK23" i="1"/>
  <c r="BY23" i="1"/>
  <c r="CA15" i="1"/>
  <c r="CA23" i="1"/>
  <c r="BX17" i="1"/>
  <c r="BX15" i="1" s="1"/>
  <c r="BX23" i="1"/>
  <c r="BY15" i="1"/>
  <c r="BQ83" i="1"/>
  <c r="BQ50" i="1" s="1"/>
  <c r="BQ17" i="1" s="1"/>
  <c r="BM110" i="1"/>
  <c r="BM21" i="1" s="1"/>
  <c r="BM88" i="1"/>
  <c r="BO83" i="1"/>
  <c r="BO50" i="1" s="1"/>
  <c r="BO17" i="1" s="1"/>
  <c r="BN83" i="1"/>
  <c r="BN50" i="1" s="1"/>
  <c r="BN17" i="1" s="1"/>
  <c r="BP83" i="1"/>
  <c r="BM84" i="1"/>
  <c r="BN25" i="1"/>
  <c r="BN24" i="1" s="1"/>
  <c r="BO25" i="1"/>
  <c r="BO24" i="1" s="1"/>
  <c r="BP25" i="1"/>
  <c r="BP24" i="1" s="1"/>
  <c r="BQ25" i="1"/>
  <c r="BQ24" i="1" s="1"/>
  <c r="BN21" i="1"/>
  <c r="BO21" i="1"/>
  <c r="BP21" i="1"/>
  <c r="BQ21" i="1"/>
  <c r="BC84" i="1"/>
  <c r="BD84" i="1"/>
  <c r="BE84" i="1"/>
  <c r="BF84" i="1"/>
  <c r="BG84" i="1"/>
  <c r="BC88" i="1"/>
  <c r="BD88" i="1"/>
  <c r="BE88" i="1"/>
  <c r="BF88" i="1"/>
  <c r="BG88" i="1"/>
  <c r="BC112" i="1"/>
  <c r="BC113" i="1"/>
  <c r="BC114" i="1"/>
  <c r="BC115" i="1"/>
  <c r="BC116" i="1"/>
  <c r="BC117" i="1"/>
  <c r="BC118" i="1"/>
  <c r="BC119" i="1"/>
  <c r="BC120" i="1"/>
  <c r="BC121" i="1"/>
  <c r="BC122" i="1"/>
  <c r="BC123" i="1"/>
  <c r="BC111" i="1"/>
  <c r="BD110" i="1"/>
  <c r="BD21" i="1" s="1"/>
  <c r="BE110" i="1"/>
  <c r="BE21" i="1" s="1"/>
  <c r="BF110" i="1"/>
  <c r="BF21" i="1" s="1"/>
  <c r="BG110" i="1"/>
  <c r="BG21" i="1" s="1"/>
  <c r="BC54" i="1"/>
  <c r="BC55" i="1"/>
  <c r="BC56" i="1"/>
  <c r="BC57" i="1"/>
  <c r="BC58" i="1"/>
  <c r="BC59" i="1"/>
  <c r="BC60" i="1"/>
  <c r="BC61" i="1"/>
  <c r="BC62" i="1"/>
  <c r="BC63" i="1"/>
  <c r="BC64" i="1"/>
  <c r="BC65" i="1"/>
  <c r="BC66" i="1"/>
  <c r="BC67" i="1"/>
  <c r="BC68" i="1"/>
  <c r="BC69" i="1"/>
  <c r="BC70" i="1"/>
  <c r="BC71" i="1"/>
  <c r="BC72" i="1"/>
  <c r="BC73" i="1"/>
  <c r="BC74" i="1"/>
  <c r="BC75" i="1"/>
  <c r="BC76" i="1"/>
  <c r="BC77" i="1"/>
  <c r="BC78" i="1"/>
  <c r="BC79" i="1"/>
  <c r="BC80" i="1"/>
  <c r="BC81" i="1"/>
  <c r="BC53" i="1"/>
  <c r="BD52" i="1"/>
  <c r="BD51" i="1" s="1"/>
  <c r="BE52" i="1"/>
  <c r="BE51" i="1" s="1"/>
  <c r="BF52" i="1"/>
  <c r="BF51" i="1" s="1"/>
  <c r="BG52" i="1"/>
  <c r="BG51" i="1" s="1"/>
  <c r="BC30" i="1"/>
  <c r="BC31" i="1"/>
  <c r="BC32" i="1"/>
  <c r="BC29" i="1"/>
  <c r="BD25" i="1"/>
  <c r="BD24" i="1" s="1"/>
  <c r="BD16" i="1" s="1"/>
  <c r="BE25" i="1"/>
  <c r="BE24" i="1" s="1"/>
  <c r="BF25" i="1"/>
  <c r="BF24" i="1" s="1"/>
  <c r="BG25" i="1"/>
  <c r="BG24" i="1" s="1"/>
  <c r="BA110" i="1"/>
  <c r="BH110" i="1"/>
  <c r="BI110" i="1"/>
  <c r="BJ110" i="1"/>
  <c r="BK110" i="1"/>
  <c r="BL110" i="1"/>
  <c r="BR110" i="1"/>
  <c r="BS110" i="1"/>
  <c r="BT110" i="1"/>
  <c r="BU110" i="1"/>
  <c r="BV110" i="1"/>
  <c r="CC110" i="1"/>
  <c r="CD110" i="1"/>
  <c r="AS30" i="1"/>
  <c r="AS31" i="1"/>
  <c r="AS32" i="1"/>
  <c r="AS29" i="1"/>
  <c r="AD84" i="1"/>
  <c r="AE84" i="1"/>
  <c r="AF84" i="1"/>
  <c r="AG84" i="1"/>
  <c r="AH84" i="1"/>
  <c r="AJ84" i="1"/>
  <c r="AK84" i="1"/>
  <c r="AL84" i="1"/>
  <c r="AM84" i="1"/>
  <c r="AC84" i="1"/>
  <c r="AI87" i="1"/>
  <c r="AE110" i="1"/>
  <c r="AF110" i="1"/>
  <c r="AH110" i="1"/>
  <c r="AJ110" i="1"/>
  <c r="AK110" i="1"/>
  <c r="AL110" i="1"/>
  <c r="AM110" i="1"/>
  <c r="AO110" i="1"/>
  <c r="AP110" i="1"/>
  <c r="AR110" i="1"/>
  <c r="AT110" i="1"/>
  <c r="AU110" i="1"/>
  <c r="AV110" i="1"/>
  <c r="AW110" i="1"/>
  <c r="AS123" i="1"/>
  <c r="AI123" i="1"/>
  <c r="AS122" i="1"/>
  <c r="AI122" i="1"/>
  <c r="AS121" i="1"/>
  <c r="L121" i="1" s="1"/>
  <c r="AI121" i="1"/>
  <c r="AT84" i="1"/>
  <c r="AU84" i="1"/>
  <c r="AV84" i="1"/>
  <c r="AW84" i="1"/>
  <c r="AO84" i="1"/>
  <c r="AP84" i="1"/>
  <c r="AS87" i="1"/>
  <c r="AS28" i="1" l="1"/>
  <c r="CQ24" i="1"/>
  <c r="L110" i="1"/>
  <c r="BC28" i="1"/>
  <c r="BC25" i="1" s="1"/>
  <c r="BC24" i="1" s="1"/>
  <c r="BC16" i="1" s="1"/>
  <c r="BG83" i="1"/>
  <c r="BG50" i="1" s="1"/>
  <c r="BG17" i="1" s="1"/>
  <c r="BF83" i="1"/>
  <c r="BF50" i="1" s="1"/>
  <c r="BF17" i="1" s="1"/>
  <c r="BE83" i="1"/>
  <c r="BE50" i="1" s="1"/>
  <c r="BE17" i="1" s="1"/>
  <c r="BO15" i="1"/>
  <c r="BN15" i="1"/>
  <c r="BM83" i="1"/>
  <c r="BQ23" i="1"/>
  <c r="BN23" i="1"/>
  <c r="BO23" i="1"/>
  <c r="BQ15" i="1"/>
  <c r="BD83" i="1"/>
  <c r="BD50" i="1" s="1"/>
  <c r="BC83" i="1"/>
  <c r="BC110" i="1"/>
  <c r="BC21" i="1" s="1"/>
  <c r="BC52" i="1"/>
  <c r="BC51" i="1" s="1"/>
  <c r="BF16" i="1"/>
  <c r="BG16" i="1"/>
  <c r="BE16" i="1"/>
  <c r="CQ16" i="1" l="1"/>
  <c r="BG23" i="1"/>
  <c r="BG15" i="1"/>
  <c r="BD17" i="1"/>
  <c r="BD15" i="1" s="1"/>
  <c r="BD23" i="1"/>
  <c r="BC50" i="1"/>
  <c r="BC17" i="1" s="1"/>
  <c r="BC15" i="1" s="1"/>
  <c r="BE15" i="1"/>
  <c r="BE23" i="1"/>
  <c r="BF15" i="1"/>
  <c r="BF23" i="1"/>
  <c r="BC23" i="1" l="1"/>
  <c r="AS112" i="1" l="1"/>
  <c r="AS113" i="1"/>
  <c r="AS114" i="1"/>
  <c r="AS115" i="1"/>
  <c r="AS116" i="1"/>
  <c r="AS117" i="1"/>
  <c r="AS118" i="1"/>
  <c r="AS119" i="1"/>
  <c r="AS120" i="1"/>
  <c r="AS111" i="1"/>
  <c r="AS86" i="1"/>
  <c r="AS85" i="1"/>
  <c r="AS90" i="1"/>
  <c r="AS91" i="1"/>
  <c r="AS92" i="1"/>
  <c r="AS89" i="1"/>
  <c r="AT88" i="1"/>
  <c r="AU88" i="1"/>
  <c r="AV88" i="1"/>
  <c r="AW88" i="1"/>
  <c r="AS54" i="1"/>
  <c r="AS55" i="1"/>
  <c r="AS56" i="1"/>
  <c r="AS57" i="1"/>
  <c r="AS58" i="1"/>
  <c r="AS59" i="1"/>
  <c r="AS60" i="1"/>
  <c r="AS61" i="1"/>
  <c r="AS62" i="1"/>
  <c r="AS63" i="1"/>
  <c r="AS64" i="1"/>
  <c r="AS65" i="1"/>
  <c r="AS66" i="1"/>
  <c r="AS67" i="1"/>
  <c r="AS68" i="1"/>
  <c r="AS69" i="1"/>
  <c r="AS70" i="1"/>
  <c r="AS71" i="1"/>
  <c r="AS72" i="1"/>
  <c r="AS73" i="1"/>
  <c r="AS74" i="1"/>
  <c r="AS75" i="1"/>
  <c r="AS76" i="1"/>
  <c r="AS77" i="1"/>
  <c r="AS78" i="1"/>
  <c r="AS79" i="1"/>
  <c r="AS80" i="1"/>
  <c r="AS81" i="1"/>
  <c r="AS53" i="1"/>
  <c r="AI29" i="1"/>
  <c r="AI32" i="1"/>
  <c r="AI31" i="1"/>
  <c r="AI30" i="1"/>
  <c r="AI120" i="1"/>
  <c r="AI119" i="1"/>
  <c r="AI118" i="1"/>
  <c r="AI28" i="1" l="1"/>
  <c r="AI25" i="1" s="1"/>
  <c r="AI24" i="1" s="1"/>
  <c r="AS110" i="1"/>
  <c r="AS84" i="1"/>
  <c r="AS88" i="1"/>
  <c r="AS52" i="1"/>
  <c r="AI86" i="1"/>
  <c r="AI85" i="1"/>
  <c r="AJ88" i="1"/>
  <c r="AK88" i="1"/>
  <c r="AL88" i="1"/>
  <c r="AM88" i="1"/>
  <c r="AI90" i="1"/>
  <c r="AI91" i="1"/>
  <c r="AI92" i="1"/>
  <c r="AI89" i="1"/>
  <c r="AI112" i="1"/>
  <c r="AI113" i="1"/>
  <c r="AI114" i="1"/>
  <c r="AI115" i="1"/>
  <c r="AI116" i="1"/>
  <c r="AI117" i="1"/>
  <c r="AI111" i="1"/>
  <c r="AI54" i="1"/>
  <c r="AI55" i="1"/>
  <c r="AI56" i="1"/>
  <c r="AI57" i="1"/>
  <c r="AI58" i="1"/>
  <c r="AI59" i="1"/>
  <c r="AI60" i="1"/>
  <c r="AI61" i="1"/>
  <c r="AI62" i="1"/>
  <c r="AI63" i="1"/>
  <c r="AI64" i="1"/>
  <c r="AI65" i="1"/>
  <c r="AI66" i="1"/>
  <c r="AI67" i="1"/>
  <c r="AI68" i="1"/>
  <c r="AI69" i="1"/>
  <c r="AI70" i="1"/>
  <c r="AI71" i="1"/>
  <c r="AI72" i="1"/>
  <c r="AI73" i="1"/>
  <c r="AI74" i="1"/>
  <c r="AI75" i="1"/>
  <c r="AI76" i="1"/>
  <c r="AI77" i="1"/>
  <c r="AI78" i="1"/>
  <c r="AI79" i="1"/>
  <c r="AI80" i="1"/>
  <c r="AI81" i="1"/>
  <c r="AI53" i="1"/>
  <c r="AJ21" i="1"/>
  <c r="AK21" i="1"/>
  <c r="AL21" i="1"/>
  <c r="AM21" i="1"/>
  <c r="AJ52" i="1"/>
  <c r="AJ51" i="1" s="1"/>
  <c r="AK52" i="1"/>
  <c r="AK51" i="1" s="1"/>
  <c r="AL52" i="1"/>
  <c r="AL51" i="1" s="1"/>
  <c r="AM52" i="1"/>
  <c r="AM51" i="1" s="1"/>
  <c r="AM25" i="1"/>
  <c r="AM24" i="1" s="1"/>
  <c r="AM16" i="1" s="1"/>
  <c r="AJ25" i="1"/>
  <c r="AJ24" i="1" s="1"/>
  <c r="AK25" i="1"/>
  <c r="AK24" i="1" s="1"/>
  <c r="AL25" i="1"/>
  <c r="AL24" i="1" s="1"/>
  <c r="AL16" i="1" s="1"/>
  <c r="AI84" i="1" l="1"/>
  <c r="AI110" i="1"/>
  <c r="AI21" i="1" s="1"/>
  <c r="AM83" i="1"/>
  <c r="AM50" i="1" s="1"/>
  <c r="AM17" i="1" s="1"/>
  <c r="AM15" i="1" s="1"/>
  <c r="AI88" i="1"/>
  <c r="AJ83" i="1"/>
  <c r="AJ50" i="1" s="1"/>
  <c r="AJ17" i="1" s="1"/>
  <c r="AL83" i="1"/>
  <c r="AL50" i="1" s="1"/>
  <c r="AL17" i="1" s="1"/>
  <c r="AL15" i="1" s="1"/>
  <c r="AK83" i="1"/>
  <c r="AK50" i="1" s="1"/>
  <c r="AK17" i="1" s="1"/>
  <c r="AI52" i="1"/>
  <c r="AI51" i="1" s="1"/>
  <c r="AI16" i="1"/>
  <c r="AK16" i="1"/>
  <c r="AJ16" i="1"/>
  <c r="AI83" i="1" l="1"/>
  <c r="AJ23" i="1"/>
  <c r="AI50" i="1"/>
  <c r="AI17" i="1" s="1"/>
  <c r="AI15" i="1" s="1"/>
  <c r="AM23" i="1"/>
  <c r="AK15" i="1"/>
  <c r="AK23" i="1"/>
  <c r="AL23" i="1"/>
  <c r="AJ15" i="1"/>
  <c r="AI23" i="1" l="1"/>
  <c r="L25" i="1"/>
  <c r="M21" i="1"/>
  <c r="K21" i="1"/>
  <c r="L21" i="1"/>
  <c r="K20" i="1"/>
  <c r="L20" i="1"/>
  <c r="M20" i="1"/>
  <c r="K19" i="1"/>
  <c r="L19" i="1"/>
  <c r="M19" i="1"/>
  <c r="K18" i="1"/>
  <c r="L18" i="1"/>
  <c r="M18" i="1"/>
  <c r="K16" i="1"/>
  <c r="M16" i="1"/>
  <c r="L24" i="1" l="1"/>
  <c r="L16" i="1" s="1"/>
  <c r="M15" i="1"/>
  <c r="Q81" i="1" l="1"/>
  <c r="P81" i="1"/>
  <c r="CO81" i="1" l="1"/>
  <c r="CB81" i="1"/>
  <c r="T81" i="1"/>
  <c r="I81" i="1"/>
  <c r="L81" i="1" s="1"/>
  <c r="H81" i="1"/>
  <c r="K81" i="1" s="1"/>
  <c r="W81" i="1" l="1"/>
  <c r="V81" i="1"/>
  <c r="J52" i="1"/>
  <c r="N52" i="1"/>
  <c r="Z52" i="1"/>
  <c r="AA52" i="1"/>
  <c r="AC52" i="1"/>
  <c r="AE52" i="1"/>
  <c r="AF52" i="1"/>
  <c r="AH52" i="1"/>
  <c r="AO52" i="1"/>
  <c r="AP52" i="1"/>
  <c r="AR52" i="1"/>
  <c r="AT52" i="1"/>
  <c r="AU52" i="1"/>
  <c r="AV52" i="1"/>
  <c r="AW52" i="1"/>
  <c r="CP52" i="1"/>
  <c r="CO80" i="1"/>
  <c r="BR80" i="1"/>
  <c r="I80" i="1"/>
  <c r="L80" i="1" s="1"/>
  <c r="H80" i="1" l="1"/>
  <c r="K80" i="1" s="1"/>
  <c r="BK79" i="1" l="1"/>
  <c r="Q79" i="1"/>
  <c r="P79" i="1"/>
  <c r="I79" i="1"/>
  <c r="L79" i="1" s="1"/>
  <c r="H79" i="1"/>
  <c r="K79" i="1" s="1"/>
  <c r="CO79" i="1" l="1"/>
  <c r="BP79" i="1"/>
  <c r="BH79" i="1"/>
  <c r="I78" i="1"/>
  <c r="L78" i="1" s="1"/>
  <c r="X79" i="1" l="1"/>
  <c r="BM79" i="1"/>
  <c r="CT79" i="1"/>
  <c r="I77" i="1"/>
  <c r="L77" i="1" s="1"/>
  <c r="CQ79" i="1" l="1"/>
  <c r="U79" i="1"/>
  <c r="CE112" i="1"/>
  <c r="CJ112" i="1" s="1"/>
  <c r="CO78" i="1"/>
  <c r="AX78" i="1"/>
  <c r="H78" i="1"/>
  <c r="K78" i="1" s="1"/>
  <c r="X112" i="1" l="1"/>
  <c r="X110" i="1" s="1"/>
  <c r="X21" i="1" s="1"/>
  <c r="CJ110" i="1"/>
  <c r="CJ21" i="1" s="1"/>
  <c r="CG112" i="1"/>
  <c r="CG110" i="1" s="1"/>
  <c r="CG21" i="1" s="1"/>
  <c r="CT112" i="1"/>
  <c r="U112" i="1" s="1"/>
  <c r="U110" i="1" s="1"/>
  <c r="CO112" i="1"/>
  <c r="CE110" i="1"/>
  <c r="CB112" i="1"/>
  <c r="V112" i="1" s="1"/>
  <c r="CO77" i="1"/>
  <c r="AX77" i="1"/>
  <c r="T78" i="1"/>
  <c r="T79" i="1"/>
  <c r="T80" i="1"/>
  <c r="Q77" i="1"/>
  <c r="P77" i="1"/>
  <c r="H77" i="1"/>
  <c r="K77" i="1" s="1"/>
  <c r="W79" i="1" l="1"/>
  <c r="V79" i="1"/>
  <c r="V80" i="1"/>
  <c r="W80" i="1"/>
  <c r="W78" i="1"/>
  <c r="V78" i="1"/>
  <c r="U21" i="1"/>
  <c r="T77" i="1"/>
  <c r="CQ112" i="1"/>
  <c r="CT110" i="1"/>
  <c r="CT21" i="1" s="1"/>
  <c r="T112" i="1"/>
  <c r="CO111" i="1"/>
  <c r="CB111" i="1"/>
  <c r="CB110" i="1" s="1"/>
  <c r="CE63" i="1"/>
  <c r="Q63" i="1"/>
  <c r="W77" i="1" l="1"/>
  <c r="V77" i="1"/>
  <c r="CQ110" i="1"/>
  <c r="CB63" i="1"/>
  <c r="T63" i="1" s="1"/>
  <c r="CJ63" i="1"/>
  <c r="T111" i="1"/>
  <c r="BK62" i="1"/>
  <c r="BP62" i="1" s="1"/>
  <c r="Q62" i="1"/>
  <c r="V63" i="1" l="1"/>
  <c r="W63" i="1"/>
  <c r="CQ21" i="1"/>
  <c r="X62" i="1"/>
  <c r="X63" i="1"/>
  <c r="BM62" i="1"/>
  <c r="CT62" i="1"/>
  <c r="CG63" i="1"/>
  <c r="CT63" i="1"/>
  <c r="CE91" i="1"/>
  <c r="Q91" i="1"/>
  <c r="CQ63" i="1" l="1"/>
  <c r="U63" i="1"/>
  <c r="CQ62" i="1"/>
  <c r="U62" i="1"/>
  <c r="CO91" i="1"/>
  <c r="CJ91" i="1"/>
  <c r="CB91" i="1"/>
  <c r="T91" i="1" s="1"/>
  <c r="H76" i="1"/>
  <c r="K76" i="1" s="1"/>
  <c r="V91" i="1" l="1"/>
  <c r="W91" i="1"/>
  <c r="X91" i="1"/>
  <c r="X88" i="1" s="1"/>
  <c r="CJ88" i="1"/>
  <c r="CT91" i="1"/>
  <c r="U91" i="1" s="1"/>
  <c r="U88" i="1" s="1"/>
  <c r="CG91" i="1"/>
  <c r="CG88" i="1" s="1"/>
  <c r="AN76" i="1"/>
  <c r="AG75" i="1"/>
  <c r="CO75" i="1" s="1"/>
  <c r="Q75" i="1"/>
  <c r="P75" i="1"/>
  <c r="AD75" i="1" l="1"/>
  <c r="T75" i="1"/>
  <c r="CQ91" i="1"/>
  <c r="CT88" i="1"/>
  <c r="Q90" i="1"/>
  <c r="P90" i="1"/>
  <c r="Q89" i="1"/>
  <c r="P89" i="1"/>
  <c r="Q86" i="1"/>
  <c r="P86" i="1"/>
  <c r="P91" i="1"/>
  <c r="Q85" i="1"/>
  <c r="P85" i="1"/>
  <c r="Q92" i="1"/>
  <c r="P92" i="1"/>
  <c r="Q74" i="1"/>
  <c r="P74" i="1"/>
  <c r="Q73" i="1"/>
  <c r="P73" i="1"/>
  <c r="Q72" i="1"/>
  <c r="P72" i="1"/>
  <c r="Q71" i="1"/>
  <c r="P71" i="1"/>
  <c r="Q70" i="1"/>
  <c r="P70" i="1"/>
  <c r="Q69" i="1"/>
  <c r="P69" i="1"/>
  <c r="Q68" i="1"/>
  <c r="P68" i="1"/>
  <c r="Q67" i="1"/>
  <c r="P67" i="1"/>
  <c r="Q66" i="1"/>
  <c r="P66" i="1"/>
  <c r="Q65" i="1"/>
  <c r="P65" i="1"/>
  <c r="Q64" i="1"/>
  <c r="P64" i="1"/>
  <c r="P63" i="1"/>
  <c r="P62" i="1"/>
  <c r="Q61" i="1"/>
  <c r="P61" i="1"/>
  <c r="Q60" i="1"/>
  <c r="P60" i="1"/>
  <c r="Q59" i="1"/>
  <c r="P59" i="1"/>
  <c r="Q58" i="1"/>
  <c r="P58" i="1"/>
  <c r="Q57" i="1"/>
  <c r="P57" i="1"/>
  <c r="Q56" i="1"/>
  <c r="P56" i="1"/>
  <c r="Q55" i="1"/>
  <c r="P55" i="1"/>
  <c r="Q54" i="1"/>
  <c r="P54" i="1"/>
  <c r="Q53" i="1"/>
  <c r="P53" i="1"/>
  <c r="V75" i="1" l="1"/>
  <c r="W75" i="1"/>
  <c r="Q84" i="1"/>
  <c r="P84" i="1"/>
  <c r="CQ88" i="1"/>
  <c r="Q88" i="1"/>
  <c r="P88" i="1"/>
  <c r="Q52" i="1"/>
  <c r="P52" i="1"/>
  <c r="AB53" i="1" l="1"/>
  <c r="AB52" i="1" s="1"/>
  <c r="AG115" i="1"/>
  <c r="CO115" i="1" s="1"/>
  <c r="T115" i="1" l="1"/>
  <c r="AD115" i="1"/>
  <c r="Y53" i="1"/>
  <c r="J110" i="1"/>
  <c r="N110" i="1"/>
  <c r="O110" i="1"/>
  <c r="Y110" i="1"/>
  <c r="Z110" i="1"/>
  <c r="AA110" i="1"/>
  <c r="AB110" i="1"/>
  <c r="AC110" i="1"/>
  <c r="CM110" i="1"/>
  <c r="CN110" i="1"/>
  <c r="CO117" i="1"/>
  <c r="AD117" i="1"/>
  <c r="I117" i="1"/>
  <c r="I110" i="1" s="1"/>
  <c r="U53" i="1" l="1"/>
  <c r="W115" i="1"/>
  <c r="V115" i="1"/>
  <c r="AG116" i="1"/>
  <c r="CO116" i="1" s="1"/>
  <c r="AG114" i="1"/>
  <c r="Y84" i="1"/>
  <c r="Z84" i="1"/>
  <c r="AA84" i="1"/>
  <c r="AB84" i="1"/>
  <c r="Y88" i="1"/>
  <c r="Z88" i="1"/>
  <c r="AA88" i="1"/>
  <c r="AB88" i="1"/>
  <c r="AC88" i="1"/>
  <c r="AE88" i="1"/>
  <c r="AF88" i="1"/>
  <c r="AH88" i="1"/>
  <c r="AO88" i="1"/>
  <c r="AP88" i="1"/>
  <c r="AR88" i="1"/>
  <c r="AY88" i="1"/>
  <c r="AZ88" i="1"/>
  <c r="BB88" i="1"/>
  <c r="BH88" i="1"/>
  <c r="BI88" i="1"/>
  <c r="BJ88" i="1"/>
  <c r="BK88" i="1"/>
  <c r="BL88" i="1"/>
  <c r="BR88" i="1"/>
  <c r="BS88" i="1"/>
  <c r="BT88" i="1"/>
  <c r="BU88" i="1"/>
  <c r="BV88" i="1"/>
  <c r="CB88" i="1"/>
  <c r="CC88" i="1"/>
  <c r="CD88" i="1"/>
  <c r="CE88" i="1"/>
  <c r="CF88" i="1"/>
  <c r="CM88" i="1"/>
  <c r="CN88" i="1"/>
  <c r="AG92" i="1"/>
  <c r="AD92" i="1" s="1"/>
  <c r="AD88" i="1" s="1"/>
  <c r="AC51" i="1"/>
  <c r="AE51" i="1"/>
  <c r="AF51" i="1"/>
  <c r="AH51" i="1"/>
  <c r="CO76" i="1"/>
  <c r="AG74" i="1"/>
  <c r="AD74" i="1" s="1"/>
  <c r="AG73" i="1"/>
  <c r="AD73" i="1" s="1"/>
  <c r="CO72" i="1"/>
  <c r="AD72" i="1"/>
  <c r="AG71" i="1"/>
  <c r="CO71" i="1" s="1"/>
  <c r="I70" i="1"/>
  <c r="AG70" i="1"/>
  <c r="CO69" i="1"/>
  <c r="AD69" i="1"/>
  <c r="CO66" i="1"/>
  <c r="CO67" i="1"/>
  <c r="CO68" i="1"/>
  <c r="AD68" i="1"/>
  <c r="Y68" i="1"/>
  <c r="T69" i="1" l="1"/>
  <c r="W69" i="1"/>
  <c r="V69" i="1"/>
  <c r="U68" i="1"/>
  <c r="T68" i="1"/>
  <c r="T72" i="1"/>
  <c r="Y52" i="1"/>
  <c r="T76" i="1"/>
  <c r="T71" i="1"/>
  <c r="T116" i="1"/>
  <c r="T117" i="1"/>
  <c r="CO114" i="1"/>
  <c r="AG110" i="1"/>
  <c r="AG52" i="1"/>
  <c r="AG51" i="1" s="1"/>
  <c r="CO73" i="1"/>
  <c r="CO74" i="1"/>
  <c r="AD70" i="1"/>
  <c r="AD114" i="1"/>
  <c r="AG88" i="1"/>
  <c r="AG83" i="1" s="1"/>
  <c r="CO70" i="1"/>
  <c r="CO92" i="1"/>
  <c r="AD116" i="1"/>
  <c r="AB83" i="1"/>
  <c r="AC83" i="1"/>
  <c r="AC50" i="1" s="1"/>
  <c r="Y83" i="1"/>
  <c r="AA83" i="1"/>
  <c r="AF83" i="1"/>
  <c r="AF50" i="1" s="1"/>
  <c r="AE83" i="1"/>
  <c r="AE50" i="1" s="1"/>
  <c r="AD76" i="1"/>
  <c r="AD71" i="1"/>
  <c r="Z83" i="1"/>
  <c r="AD83" i="1"/>
  <c r="AH83" i="1"/>
  <c r="AH50" i="1" s="1"/>
  <c r="V72" i="1" l="1"/>
  <c r="W72" i="1"/>
  <c r="W117" i="1"/>
  <c r="V117" i="1"/>
  <c r="W116" i="1"/>
  <c r="V116" i="1"/>
  <c r="W68" i="1"/>
  <c r="V68" i="1"/>
  <c r="W71" i="1"/>
  <c r="V71" i="1"/>
  <c r="W76" i="1"/>
  <c r="V76" i="1"/>
  <c r="T73" i="1"/>
  <c r="T114" i="1"/>
  <c r="T70" i="1"/>
  <c r="T74" i="1"/>
  <c r="T92" i="1"/>
  <c r="AD110" i="1"/>
  <c r="AG50" i="1"/>
  <c r="W70" i="1" l="1"/>
  <c r="V70" i="1"/>
  <c r="V92" i="1"/>
  <c r="W92" i="1"/>
  <c r="W74" i="1"/>
  <c r="V74" i="1"/>
  <c r="W114" i="1"/>
  <c r="V114" i="1"/>
  <c r="W73" i="1"/>
  <c r="V73" i="1"/>
  <c r="AD67" i="1"/>
  <c r="W67" i="1" s="1"/>
  <c r="CM29" i="1"/>
  <c r="CM28" i="1" s="1"/>
  <c r="CN29" i="1"/>
  <c r="CN28" i="1" s="1"/>
  <c r="CO29" i="1"/>
  <c r="CO28" i="1" s="1"/>
  <c r="AD29" i="1"/>
  <c r="W29" i="1" s="1"/>
  <c r="AE25" i="1"/>
  <c r="AE24" i="1" s="1"/>
  <c r="AF25" i="1"/>
  <c r="AF24" i="1" s="1"/>
  <c r="AF23" i="1" s="1"/>
  <c r="AG25" i="1"/>
  <c r="AG24" i="1" s="1"/>
  <c r="AH25" i="1"/>
  <c r="AH24" i="1" s="1"/>
  <c r="AH21" i="1"/>
  <c r="AG21" i="1"/>
  <c r="AF21" i="1"/>
  <c r="AE21" i="1"/>
  <c r="AD21" i="1"/>
  <c r="AH17" i="1"/>
  <c r="AG17" i="1"/>
  <c r="AF17" i="1"/>
  <c r="AE17" i="1"/>
  <c r="AD28" i="1" l="1"/>
  <c r="AD52" i="1"/>
  <c r="AD51" i="1" s="1"/>
  <c r="AD50" i="1" s="1"/>
  <c r="AH23" i="1"/>
  <c r="AH16" i="1"/>
  <c r="AH15" i="1" s="1"/>
  <c r="AE16" i="1"/>
  <c r="AE15" i="1" s="1"/>
  <c r="AE23" i="1"/>
  <c r="AG16" i="1"/>
  <c r="AG15" i="1" s="1"/>
  <c r="AG23" i="1"/>
  <c r="AF16" i="1"/>
  <c r="AF15" i="1" s="1"/>
  <c r="J28" i="1"/>
  <c r="J25" i="1" s="1"/>
  <c r="J24" i="1" s="1"/>
  <c r="N25" i="1"/>
  <c r="N24" i="1" s="1"/>
  <c r="O25" i="1"/>
  <c r="O24" i="1" s="1"/>
  <c r="P25" i="1"/>
  <c r="P24" i="1" s="1"/>
  <c r="Q25" i="1"/>
  <c r="Q24" i="1" s="1"/>
  <c r="T24" i="1"/>
  <c r="Y25" i="1"/>
  <c r="Z25" i="1"/>
  <c r="Z24" i="1" s="1"/>
  <c r="AA25" i="1"/>
  <c r="AA24" i="1" s="1"/>
  <c r="AB25" i="1"/>
  <c r="AB24" i="1" s="1"/>
  <c r="AC25" i="1"/>
  <c r="AC24" i="1" s="1"/>
  <c r="AN25" i="1"/>
  <c r="AN24" i="1" s="1"/>
  <c r="AO25" i="1"/>
  <c r="AO24" i="1" s="1"/>
  <c r="AP25" i="1"/>
  <c r="AP24" i="1" s="1"/>
  <c r="AQ25" i="1"/>
  <c r="AQ24" i="1" s="1"/>
  <c r="AR25" i="1"/>
  <c r="AR24" i="1" s="1"/>
  <c r="AT25" i="1"/>
  <c r="AT24" i="1" s="1"/>
  <c r="AU25" i="1"/>
  <c r="AU24" i="1" s="1"/>
  <c r="AV25" i="1"/>
  <c r="AV24" i="1" s="1"/>
  <c r="AW25" i="1"/>
  <c r="AW24" i="1" s="1"/>
  <c r="AX25" i="1"/>
  <c r="AX24" i="1" s="1"/>
  <c r="AY25" i="1"/>
  <c r="AY24" i="1" s="1"/>
  <c r="AZ25" i="1"/>
  <c r="AZ24" i="1" s="1"/>
  <c r="BA25" i="1"/>
  <c r="BA24" i="1" s="1"/>
  <c r="BB25" i="1"/>
  <c r="BB24" i="1" s="1"/>
  <c r="BH25" i="1"/>
  <c r="BH24" i="1" s="1"/>
  <c r="BI25" i="1"/>
  <c r="BI24" i="1" s="1"/>
  <c r="BJ25" i="1"/>
  <c r="BJ24" i="1" s="1"/>
  <c r="BK25" i="1"/>
  <c r="BK24" i="1" s="1"/>
  <c r="BL25" i="1"/>
  <c r="BL24" i="1" s="1"/>
  <c r="BR25" i="1"/>
  <c r="BR24" i="1" s="1"/>
  <c r="BS25" i="1"/>
  <c r="BS24" i="1" s="1"/>
  <c r="BT25" i="1"/>
  <c r="BT24" i="1" s="1"/>
  <c r="BU25" i="1"/>
  <c r="BU24" i="1" s="1"/>
  <c r="BV25" i="1"/>
  <c r="BV24" i="1" s="1"/>
  <c r="CB25" i="1"/>
  <c r="CB24" i="1" s="1"/>
  <c r="CC25" i="1"/>
  <c r="CC24" i="1" s="1"/>
  <c r="CD25" i="1"/>
  <c r="CD24" i="1" s="1"/>
  <c r="CE25" i="1"/>
  <c r="CE24" i="1" s="1"/>
  <c r="CF25" i="1"/>
  <c r="CF24" i="1" s="1"/>
  <c r="CM25" i="1"/>
  <c r="CM24" i="1" s="1"/>
  <c r="CN25" i="1"/>
  <c r="CN24" i="1" s="1"/>
  <c r="CO25" i="1"/>
  <c r="CO24" i="1" s="1"/>
  <c r="CP25" i="1"/>
  <c r="CP24" i="1" s="1"/>
  <c r="I28" i="1"/>
  <c r="Y24" i="1" l="1"/>
  <c r="AD25" i="1"/>
  <c r="AD24" i="1" s="1"/>
  <c r="AD16" i="1" s="1"/>
  <c r="W28" i="1"/>
  <c r="T16" i="1"/>
  <c r="V24" i="1"/>
  <c r="I25" i="1"/>
  <c r="AD17" i="1"/>
  <c r="AD15" i="1" l="1"/>
  <c r="W24" i="1"/>
  <c r="AD23" i="1"/>
  <c r="V16" i="1"/>
  <c r="W25" i="1"/>
  <c r="I24" i="1"/>
  <c r="Y51" i="1"/>
  <c r="Y50" i="1" s="1"/>
  <c r="Y23" i="1" s="1"/>
  <c r="Z51" i="1"/>
  <c r="Z50" i="1" s="1"/>
  <c r="Z23" i="1" s="1"/>
  <c r="AA51" i="1"/>
  <c r="AA50" i="1" s="1"/>
  <c r="AA23" i="1" s="1"/>
  <c r="AB51" i="1"/>
  <c r="AB50" i="1" s="1"/>
  <c r="AB23" i="1" s="1"/>
  <c r="AC23" i="1"/>
  <c r="Y21" i="1" l="1"/>
  <c r="Z21" i="1"/>
  <c r="AA21" i="1"/>
  <c r="AB21" i="1"/>
  <c r="AC21" i="1"/>
  <c r="Y17" i="1"/>
  <c r="Z17" i="1"/>
  <c r="AA17" i="1"/>
  <c r="AB17" i="1"/>
  <c r="AC17" i="1"/>
  <c r="Y16" i="1"/>
  <c r="Z16" i="1"/>
  <c r="AA16" i="1"/>
  <c r="AB16" i="1"/>
  <c r="AC16" i="1"/>
  <c r="O54" i="1"/>
  <c r="W16" i="1" l="1"/>
  <c r="O52" i="1"/>
  <c r="AB15" i="1"/>
  <c r="AC15" i="1"/>
  <c r="AA15" i="1"/>
  <c r="Z15" i="1"/>
  <c r="Y15" i="1"/>
  <c r="H86" i="1"/>
  <c r="K86" i="1" s="1"/>
  <c r="K84" i="1" s="1"/>
  <c r="H85" i="1"/>
  <c r="H84" i="1" s="1"/>
  <c r="H64" i="1" l="1"/>
  <c r="K64" i="1" s="1"/>
  <c r="H63" i="1"/>
  <c r="K63" i="1" s="1"/>
  <c r="J17" i="1" l="1"/>
  <c r="N17" i="1"/>
  <c r="G21" i="1"/>
  <c r="F21" i="1"/>
  <c r="E21" i="1"/>
  <c r="D21" i="1"/>
  <c r="Q20" i="1"/>
  <c r="P20" i="1"/>
  <c r="O20" i="1"/>
  <c r="N20" i="1"/>
  <c r="J20" i="1"/>
  <c r="I20" i="1"/>
  <c r="H20" i="1"/>
  <c r="F20" i="1"/>
  <c r="E20" i="1"/>
  <c r="D20" i="1"/>
  <c r="Q19" i="1"/>
  <c r="P19" i="1"/>
  <c r="O19" i="1"/>
  <c r="N19" i="1"/>
  <c r="J19" i="1"/>
  <c r="I19" i="1"/>
  <c r="H19" i="1"/>
  <c r="F19" i="1"/>
  <c r="E19" i="1"/>
  <c r="D19" i="1"/>
  <c r="Q18" i="1"/>
  <c r="P18" i="1"/>
  <c r="O18" i="1"/>
  <c r="N18" i="1"/>
  <c r="J18" i="1"/>
  <c r="I18" i="1"/>
  <c r="H18" i="1"/>
  <c r="F18" i="1"/>
  <c r="E18" i="1"/>
  <c r="D18" i="1"/>
  <c r="D17" i="1"/>
  <c r="O16" i="1"/>
  <c r="N16" i="1"/>
  <c r="J16" i="1"/>
  <c r="I16" i="1"/>
  <c r="H16" i="1"/>
  <c r="F16" i="1"/>
  <c r="E16" i="1"/>
  <c r="D16" i="1"/>
  <c r="BH59" i="1"/>
  <c r="BH60" i="1"/>
  <c r="BH61" i="1"/>
  <c r="BH62" i="1"/>
  <c r="T62" i="1" s="1"/>
  <c r="BH63" i="1"/>
  <c r="BH64" i="1"/>
  <c r="BH65" i="1"/>
  <c r="BH66" i="1"/>
  <c r="AQ113" i="1"/>
  <c r="AQ110" i="1" s="1"/>
  <c r="CM83" i="1"/>
  <c r="CN83" i="1"/>
  <c r="CP83" i="1"/>
  <c r="H91" i="1"/>
  <c r="K91" i="1" s="1"/>
  <c r="CO90" i="1"/>
  <c r="AN90" i="1"/>
  <c r="AQ89" i="1"/>
  <c r="AQ88" i="1" s="1"/>
  <c r="I89" i="1"/>
  <c r="H89" i="1"/>
  <c r="CE86" i="1"/>
  <c r="BU86" i="1"/>
  <c r="AQ85" i="1"/>
  <c r="AQ84" i="1" s="1"/>
  <c r="CB66" i="1"/>
  <c r="T66" i="1" s="1"/>
  <c r="CE65" i="1"/>
  <c r="CJ65" i="1" s="1"/>
  <c r="I65" i="1"/>
  <c r="L65" i="1" s="1"/>
  <c r="H65" i="1"/>
  <c r="K65" i="1" s="1"/>
  <c r="BU64" i="1"/>
  <c r="BZ64" i="1" s="1"/>
  <c r="H62" i="1"/>
  <c r="K62" i="1" s="1"/>
  <c r="AQ61" i="1"/>
  <c r="I61" i="1"/>
  <c r="L61" i="1" s="1"/>
  <c r="H61" i="1"/>
  <c r="K61" i="1" s="1"/>
  <c r="CE60" i="1"/>
  <c r="CJ60" i="1" s="1"/>
  <c r="BR60" i="1"/>
  <c r="I60" i="1"/>
  <c r="L60" i="1" s="1"/>
  <c r="H60" i="1"/>
  <c r="K60" i="1" s="1"/>
  <c r="BU59" i="1"/>
  <c r="BZ59" i="1" s="1"/>
  <c r="I59" i="1"/>
  <c r="L59" i="1" s="1"/>
  <c r="H59" i="1"/>
  <c r="K59" i="1" s="1"/>
  <c r="BK58" i="1"/>
  <c r="BP58" i="1" s="1"/>
  <c r="BA58" i="1"/>
  <c r="I58" i="1"/>
  <c r="L58" i="1" s="1"/>
  <c r="H58" i="1"/>
  <c r="K58" i="1" s="1"/>
  <c r="BK57" i="1"/>
  <c r="BP57" i="1" s="1"/>
  <c r="BA57" i="1"/>
  <c r="I57" i="1"/>
  <c r="L57" i="1" s="1"/>
  <c r="H57" i="1"/>
  <c r="K57" i="1" s="1"/>
  <c r="BK56" i="1"/>
  <c r="BP56" i="1" s="1"/>
  <c r="BA56" i="1"/>
  <c r="AX56" i="1" s="1"/>
  <c r="H56" i="1"/>
  <c r="K56" i="1" s="1"/>
  <c r="I56" i="1"/>
  <c r="L56" i="1" s="1"/>
  <c r="I55" i="1"/>
  <c r="L55" i="1" s="1"/>
  <c r="BU55" i="1"/>
  <c r="BK55" i="1"/>
  <c r="BP55" i="1" s="1"/>
  <c r="AQ55" i="1"/>
  <c r="H55" i="1"/>
  <c r="K55" i="1" s="1"/>
  <c r="H53" i="1"/>
  <c r="K53" i="1" s="1"/>
  <c r="I53" i="1"/>
  <c r="L53" i="1" s="1"/>
  <c r="AQ54" i="1"/>
  <c r="V66" i="1" l="1"/>
  <c r="W66" i="1"/>
  <c r="W62" i="1"/>
  <c r="V62" i="1"/>
  <c r="CO55" i="1"/>
  <c r="X60" i="1"/>
  <c r="X58" i="1"/>
  <c r="X64" i="1"/>
  <c r="X57" i="1"/>
  <c r="X59" i="1"/>
  <c r="X65" i="1"/>
  <c r="X56" i="1"/>
  <c r="L52" i="1"/>
  <c r="K52" i="1"/>
  <c r="K51" i="1" s="1"/>
  <c r="CB86" i="1"/>
  <c r="CJ86" i="1"/>
  <c r="BM57" i="1"/>
  <c r="CT57" i="1"/>
  <c r="I88" i="1"/>
  <c r="L89" i="1"/>
  <c r="BM58" i="1"/>
  <c r="CT58" i="1"/>
  <c r="CG60" i="1"/>
  <c r="CT60" i="1"/>
  <c r="CJ52" i="1"/>
  <c r="CJ51" i="1" s="1"/>
  <c r="BW64" i="1"/>
  <c r="CT64" i="1"/>
  <c r="CT65" i="1"/>
  <c r="CG65" i="1"/>
  <c r="K89" i="1"/>
  <c r="K88" i="1" s="1"/>
  <c r="K83" i="1" s="1"/>
  <c r="H88" i="1"/>
  <c r="BW59" i="1"/>
  <c r="CT59" i="1"/>
  <c r="BM56" i="1"/>
  <c r="CT56" i="1"/>
  <c r="BR86" i="1"/>
  <c r="BZ86" i="1"/>
  <c r="BP52" i="1"/>
  <c r="BP51" i="1" s="1"/>
  <c r="BP50" i="1" s="1"/>
  <c r="BM55" i="1"/>
  <c r="BU52" i="1"/>
  <c r="BZ55" i="1"/>
  <c r="AQ52" i="1"/>
  <c r="I52" i="1"/>
  <c r="I51" i="1" s="1"/>
  <c r="H52" i="1"/>
  <c r="H51" i="1" s="1"/>
  <c r="BK52" i="1"/>
  <c r="AX111" i="1"/>
  <c r="BH55" i="1"/>
  <c r="BH58" i="1"/>
  <c r="CO58" i="1"/>
  <c r="AX62" i="1"/>
  <c r="CO62" i="1"/>
  <c r="BR59" i="1"/>
  <c r="T59" i="1" s="1"/>
  <c r="CO59" i="1"/>
  <c r="BR64" i="1"/>
  <c r="T64" i="1" s="1"/>
  <c r="CO64" i="1"/>
  <c r="BH56" i="1"/>
  <c r="T56" i="1" s="1"/>
  <c r="CO56" i="1"/>
  <c r="CB60" i="1"/>
  <c r="T60" i="1" s="1"/>
  <c r="CO60" i="1"/>
  <c r="BH57" i="1"/>
  <c r="CO57" i="1"/>
  <c r="AX63" i="1"/>
  <c r="CO63" i="1"/>
  <c r="CB65" i="1"/>
  <c r="T65" i="1" s="1"/>
  <c r="CO65" i="1"/>
  <c r="AX91" i="1"/>
  <c r="BA88" i="1"/>
  <c r="AN61" i="1"/>
  <c r="T61" i="1" s="1"/>
  <c r="CO61" i="1"/>
  <c r="BR55" i="1"/>
  <c r="D15" i="1"/>
  <c r="AN89" i="1"/>
  <c r="AN88" i="1" s="1"/>
  <c r="CO89" i="1"/>
  <c r="V64" i="1" l="1"/>
  <c r="W64" i="1"/>
  <c r="V65" i="1"/>
  <c r="W65" i="1"/>
  <c r="V60" i="1"/>
  <c r="W60" i="1"/>
  <c r="V59" i="1"/>
  <c r="W59" i="1"/>
  <c r="W61" i="1"/>
  <c r="V61" i="1"/>
  <c r="W56" i="1"/>
  <c r="V56" i="1"/>
  <c r="L88" i="1"/>
  <c r="L51" i="1"/>
  <c r="K50" i="1"/>
  <c r="K17" i="1" s="1"/>
  <c r="K15" i="1" s="1"/>
  <c r="CQ58" i="1"/>
  <c r="U58" i="1"/>
  <c r="CQ59" i="1"/>
  <c r="U59" i="1"/>
  <c r="CT55" i="1"/>
  <c r="CQ57" i="1"/>
  <c r="U57" i="1"/>
  <c r="CQ64" i="1"/>
  <c r="U64" i="1"/>
  <c r="X86" i="1"/>
  <c r="X84" i="1" s="1"/>
  <c r="X83" i="1" s="1"/>
  <c r="T86" i="1"/>
  <c r="CQ60" i="1"/>
  <c r="U60" i="1"/>
  <c r="X55" i="1"/>
  <c r="X52" i="1" s="1"/>
  <c r="X51" i="1" s="1"/>
  <c r="CQ65" i="1"/>
  <c r="U65" i="1"/>
  <c r="CQ56" i="1"/>
  <c r="U56" i="1"/>
  <c r="CG52" i="1"/>
  <c r="CG51" i="1" s="1"/>
  <c r="CG86" i="1"/>
  <c r="CG84" i="1" s="1"/>
  <c r="CG83" i="1" s="1"/>
  <c r="CT86" i="1"/>
  <c r="U86" i="1" s="1"/>
  <c r="U84" i="1" s="1"/>
  <c r="CJ84" i="1"/>
  <c r="CJ83" i="1" s="1"/>
  <c r="CJ50" i="1" s="1"/>
  <c r="BM52" i="1"/>
  <c r="BM51" i="1" s="1"/>
  <c r="BM50" i="1" s="1"/>
  <c r="BM23" i="1" s="1"/>
  <c r="BW55" i="1"/>
  <c r="BW52" i="1" s="1"/>
  <c r="BW51" i="1" s="1"/>
  <c r="BZ52" i="1"/>
  <c r="BZ51" i="1" s="1"/>
  <c r="BZ84" i="1"/>
  <c r="BZ83" i="1" s="1"/>
  <c r="BW86" i="1"/>
  <c r="BW84" i="1" s="1"/>
  <c r="BW83" i="1" s="1"/>
  <c r="BP17" i="1"/>
  <c r="BP15" i="1" s="1"/>
  <c r="BP23" i="1"/>
  <c r="CO88" i="1"/>
  <c r="AX88" i="1"/>
  <c r="T89" i="1"/>
  <c r="W89" i="1" l="1"/>
  <c r="V89" i="1"/>
  <c r="X50" i="1"/>
  <c r="X17" i="1" s="1"/>
  <c r="X15" i="1" s="1"/>
  <c r="U83" i="1"/>
  <c r="CT52" i="1"/>
  <c r="CT51" i="1" s="1"/>
  <c r="L83" i="1"/>
  <c r="L50" i="1" s="1"/>
  <c r="L17" i="1" s="1"/>
  <c r="L15" i="1" s="1"/>
  <c r="CQ55" i="1"/>
  <c r="CG50" i="1"/>
  <c r="CG17" i="1" s="1"/>
  <c r="CG15" i="1" s="1"/>
  <c r="BM17" i="1"/>
  <c r="BM15" i="1" s="1"/>
  <c r="CT84" i="1"/>
  <c r="CT83" i="1" s="1"/>
  <c r="CQ86" i="1"/>
  <c r="CJ17" i="1"/>
  <c r="CJ15" i="1" s="1"/>
  <c r="CJ23" i="1"/>
  <c r="BW50" i="1"/>
  <c r="BZ50" i="1"/>
  <c r="W112" i="1"/>
  <c r="T88" i="1"/>
  <c r="CT50" i="1" l="1"/>
  <c r="CT17" i="1" s="1"/>
  <c r="CT15" i="1" s="1"/>
  <c r="X23" i="1"/>
  <c r="CQ52" i="1"/>
  <c r="U55" i="1"/>
  <c r="U52" i="1" s="1"/>
  <c r="U51" i="1" s="1"/>
  <c r="U50" i="1" s="1"/>
  <c r="U17" i="1" s="1"/>
  <c r="U15" i="1" s="1"/>
  <c r="V88" i="1"/>
  <c r="W88" i="1"/>
  <c r="CQ84" i="1"/>
  <c r="CG23" i="1"/>
  <c r="L23" i="1"/>
  <c r="BZ17" i="1"/>
  <c r="BZ15" i="1" s="1"/>
  <c r="BZ23" i="1"/>
  <c r="BW17" i="1"/>
  <c r="BW15" i="1" s="1"/>
  <c r="BW23" i="1"/>
  <c r="W111" i="1"/>
  <c r="V111" i="1"/>
  <c r="BA53" i="1"/>
  <c r="BA52" i="1" s="1"/>
  <c r="T53" i="1"/>
  <c r="P51" i="1"/>
  <c r="CT23" i="1" l="1"/>
  <c r="CQ51" i="1"/>
  <c r="U23" i="1"/>
  <c r="W53" i="1"/>
  <c r="V53" i="1"/>
  <c r="CQ83" i="1"/>
  <c r="CQ50" i="1" l="1"/>
  <c r="CO86" i="1"/>
  <c r="CO94" i="1"/>
  <c r="CO95" i="1"/>
  <c r="CO96" i="1"/>
  <c r="CO97" i="1"/>
  <c r="CO98" i="1"/>
  <c r="CO99" i="1"/>
  <c r="CO100" i="1"/>
  <c r="CO101" i="1"/>
  <c r="CO102" i="1"/>
  <c r="CO103" i="1"/>
  <c r="CO104" i="1"/>
  <c r="CO105" i="1"/>
  <c r="CO106" i="1"/>
  <c r="CO107" i="1"/>
  <c r="CO108" i="1"/>
  <c r="CO109" i="1"/>
  <c r="CP21" i="1"/>
  <c r="AO51" i="1"/>
  <c r="AP51" i="1"/>
  <c r="AR51" i="1"/>
  <c r="AT51" i="1"/>
  <c r="AU51" i="1"/>
  <c r="AV51" i="1"/>
  <c r="AW51" i="1"/>
  <c r="CP51" i="1"/>
  <c r="CN60" i="1"/>
  <c r="CM60" i="1"/>
  <c r="CN59" i="1"/>
  <c r="CM59" i="1"/>
  <c r="CM21" i="1"/>
  <c r="AZ111" i="1"/>
  <c r="AZ110" i="1" s="1"/>
  <c r="AY111" i="1"/>
  <c r="AY110" i="1" s="1"/>
  <c r="BB111" i="1"/>
  <c r="BB110" i="1" s="1"/>
  <c r="BS21" i="1"/>
  <c r="BL21" i="1"/>
  <c r="CF21" i="1"/>
  <c r="CD21" i="1"/>
  <c r="CC21" i="1"/>
  <c r="BV21" i="1"/>
  <c r="BT21" i="1"/>
  <c r="CP85" i="1"/>
  <c r="BV85" i="1"/>
  <c r="BT85" i="1"/>
  <c r="BS85" i="1"/>
  <c r="BL85" i="1"/>
  <c r="BK85" i="1"/>
  <c r="BJ85" i="1"/>
  <c r="BI85" i="1"/>
  <c r="BB85" i="1"/>
  <c r="BA85" i="1"/>
  <c r="AZ85" i="1"/>
  <c r="AY85" i="1"/>
  <c r="AX85" i="1"/>
  <c r="AR85" i="1"/>
  <c r="CP47" i="1"/>
  <c r="CP16" i="1" s="1"/>
  <c r="BH47" i="1"/>
  <c r="BK47" i="1"/>
  <c r="BR47" i="1"/>
  <c r="BU47" i="1"/>
  <c r="CB47" i="1"/>
  <c r="CE47" i="1"/>
  <c r="CM47" i="1"/>
  <c r="CM16" i="1" s="1"/>
  <c r="CN47" i="1"/>
  <c r="CN16" i="1" s="1"/>
  <c r="AO16" i="1"/>
  <c r="AR47" i="1"/>
  <c r="AT47" i="1"/>
  <c r="AU47" i="1"/>
  <c r="AU16" i="1" s="1"/>
  <c r="AW47" i="1"/>
  <c r="AX47" i="1"/>
  <c r="BA47" i="1"/>
  <c r="AQ47" i="1"/>
  <c r="AR84" i="1" l="1"/>
  <c r="CQ23" i="1"/>
  <c r="CQ17" i="1"/>
  <c r="CU47" i="1"/>
  <c r="BH85" i="1"/>
  <c r="CT103" i="1"/>
  <c r="CQ103" i="1" s="1"/>
  <c r="CT99" i="1"/>
  <c r="CQ99" i="1" s="1"/>
  <c r="CT108" i="1"/>
  <c r="CQ108" i="1" s="1"/>
  <c r="CT102" i="1"/>
  <c r="CQ102" i="1" s="1"/>
  <c r="CT100" i="1"/>
  <c r="CQ100" i="1" s="1"/>
  <c r="CT97" i="1"/>
  <c r="CQ97" i="1" s="1"/>
  <c r="CT107" i="1"/>
  <c r="CQ107" i="1" s="1"/>
  <c r="CT95" i="1"/>
  <c r="CQ95" i="1" s="1"/>
  <c r="CT106" i="1"/>
  <c r="CQ106" i="1" s="1"/>
  <c r="CT94" i="1"/>
  <c r="CQ94" i="1" s="1"/>
  <c r="CT109" i="1"/>
  <c r="CQ109" i="1" s="1"/>
  <c r="AT16" i="1"/>
  <c r="CT105" i="1"/>
  <c r="CQ105" i="1" s="1"/>
  <c r="CT101" i="1"/>
  <c r="CQ101" i="1" s="1"/>
  <c r="CT98" i="1"/>
  <c r="CQ98" i="1" s="1"/>
  <c r="CT96" i="1"/>
  <c r="CQ96" i="1" s="1"/>
  <c r="CT104" i="1"/>
  <c r="CQ104" i="1" s="1"/>
  <c r="AP47" i="1"/>
  <c r="AP16" i="1" s="1"/>
  <c r="CN21" i="1"/>
  <c r="AN47" i="1"/>
  <c r="AN16" i="1" s="1"/>
  <c r="CP50" i="1"/>
  <c r="CP23" i="1" s="1"/>
  <c r="AR16" i="1"/>
  <c r="AW16" i="1"/>
  <c r="AQ16" i="1"/>
  <c r="CQ15" i="1" l="1"/>
  <c r="CP17" i="1"/>
  <c r="CP15" i="1" s="1"/>
  <c r="CO47" i="1"/>
  <c r="CO16" i="1" s="1"/>
  <c r="O51" i="1" l="1"/>
  <c r="Q51" i="1"/>
  <c r="I83" i="1"/>
  <c r="J84" i="1"/>
  <c r="J83" i="1" s="1"/>
  <c r="N84" i="1"/>
  <c r="N83" i="1" s="1"/>
  <c r="O84" i="1"/>
  <c r="O83" i="1" s="1"/>
  <c r="Q83" i="1"/>
  <c r="AO83" i="1"/>
  <c r="AP83" i="1"/>
  <c r="AR83" i="1"/>
  <c r="AS83" i="1"/>
  <c r="AT83" i="1"/>
  <c r="AU83" i="1"/>
  <c r="AV83" i="1"/>
  <c r="AW83" i="1"/>
  <c r="AX84" i="1"/>
  <c r="AX83" i="1" s="1"/>
  <c r="AY84" i="1"/>
  <c r="AY83" i="1" s="1"/>
  <c r="AZ84" i="1"/>
  <c r="AZ83" i="1" s="1"/>
  <c r="BA84" i="1"/>
  <c r="BA83" i="1" s="1"/>
  <c r="BB84" i="1"/>
  <c r="BB83" i="1" s="1"/>
  <c r="BH84" i="1"/>
  <c r="BH83" i="1" s="1"/>
  <c r="BI84" i="1"/>
  <c r="BI83" i="1" s="1"/>
  <c r="BJ84" i="1"/>
  <c r="BJ83" i="1" s="1"/>
  <c r="BK84" i="1"/>
  <c r="BK83" i="1" s="1"/>
  <c r="BL84" i="1"/>
  <c r="BL83" i="1" s="1"/>
  <c r="BS84" i="1"/>
  <c r="BS83" i="1" s="1"/>
  <c r="BT84" i="1"/>
  <c r="BT83" i="1" s="1"/>
  <c r="BV84" i="1"/>
  <c r="BV83" i="1" s="1"/>
  <c r="CB84" i="1"/>
  <c r="CB83" i="1" s="1"/>
  <c r="CC84" i="1"/>
  <c r="CC83" i="1" s="1"/>
  <c r="CD84" i="1"/>
  <c r="CD83" i="1" s="1"/>
  <c r="CE84" i="1"/>
  <c r="CE83" i="1" s="1"/>
  <c r="CF84" i="1"/>
  <c r="CF83" i="1" s="1"/>
  <c r="H83" i="1"/>
  <c r="J21" i="1"/>
  <c r="J15" i="1" s="1"/>
  <c r="N21" i="1"/>
  <c r="N15" i="1" s="1"/>
  <c r="O21" i="1"/>
  <c r="P21" i="1"/>
  <c r="Q21" i="1"/>
  <c r="AO21" i="1"/>
  <c r="AP21" i="1"/>
  <c r="AR21" i="1"/>
  <c r="AT21" i="1"/>
  <c r="AU21" i="1"/>
  <c r="AV21" i="1"/>
  <c r="AW21" i="1"/>
  <c r="AY21" i="1"/>
  <c r="AZ21" i="1"/>
  <c r="BB21" i="1"/>
  <c r="BI21" i="1"/>
  <c r="BJ21" i="1"/>
  <c r="H21" i="1"/>
  <c r="CB64" i="1"/>
  <c r="CE21" i="1" l="1"/>
  <c r="AT50" i="1"/>
  <c r="AT23" i="1" s="1"/>
  <c r="AP50" i="1"/>
  <c r="AP23" i="1" s="1"/>
  <c r="AO50" i="1"/>
  <c r="AO23" i="1" s="1"/>
  <c r="Q50" i="1"/>
  <c r="Q23" i="1" s="1"/>
  <c r="CB21" i="1"/>
  <c r="AR50" i="1"/>
  <c r="AR23" i="1" s="1"/>
  <c r="H50" i="1"/>
  <c r="H23" i="1" s="1"/>
  <c r="AW50" i="1"/>
  <c r="AW23" i="1" s="1"/>
  <c r="O50" i="1"/>
  <c r="O23" i="1" s="1"/>
  <c r="I50" i="1"/>
  <c r="AU50" i="1"/>
  <c r="AU23" i="1" s="1"/>
  <c r="I23" i="1" l="1"/>
  <c r="I17" i="1"/>
  <c r="O17" i="1"/>
  <c r="O15" i="1" s="1"/>
  <c r="H17" i="1"/>
  <c r="H15" i="1" s="1"/>
  <c r="AR17" i="1"/>
  <c r="AR15" i="1" s="1"/>
  <c r="Q17" i="1"/>
  <c r="AW17" i="1"/>
  <c r="AW15" i="1" s="1"/>
  <c r="AO17" i="1"/>
  <c r="AO15" i="1" s="1"/>
  <c r="AP17" i="1"/>
  <c r="AP15" i="1" s="1"/>
  <c r="AT17" i="1"/>
  <c r="AT15" i="1" s="1"/>
  <c r="AU17" i="1"/>
  <c r="AU15" i="1" s="1"/>
  <c r="BU84" i="1"/>
  <c r="BU83" i="1" s="1"/>
  <c r="BR63" i="1"/>
  <c r="BR62" i="1"/>
  <c r="BR61" i="1"/>
  <c r="BR52" i="1" s="1"/>
  <c r="BR84" i="1" l="1"/>
  <c r="BR83" i="1" s="1"/>
  <c r="BU21" i="1"/>
  <c r="BR21" i="1"/>
  <c r="BK21" i="1"/>
  <c r="BH21" i="1" l="1"/>
  <c r="CN66" i="1" l="1"/>
  <c r="CM66" i="1"/>
  <c r="AX113" i="1"/>
  <c r="AN113" i="1"/>
  <c r="T113" i="1" s="1"/>
  <c r="T110" i="1" l="1"/>
  <c r="W110" i="1"/>
  <c r="V110" i="1"/>
  <c r="I21" i="1"/>
  <c r="CO113" i="1"/>
  <c r="BA21" i="1"/>
  <c r="AN112" i="1"/>
  <c r="AX65" i="1"/>
  <c r="AQ21" i="1"/>
  <c r="AN65" i="1"/>
  <c r="AN86" i="1"/>
  <c r="AN85" i="1"/>
  <c r="AN66" i="1"/>
  <c r="I15" i="1" l="1"/>
  <c r="T85" i="1"/>
  <c r="AN84" i="1"/>
  <c r="AN83" i="1" s="1"/>
  <c r="V113" i="1"/>
  <c r="CO110" i="1"/>
  <c r="CO21" i="1" s="1"/>
  <c r="T21" i="1"/>
  <c r="W113" i="1"/>
  <c r="CO85" i="1"/>
  <c r="P83" i="1"/>
  <c r="AX112" i="1"/>
  <c r="AX110" i="1" s="1"/>
  <c r="AQ83" i="1"/>
  <c r="AN111" i="1"/>
  <c r="AN110" i="1" s="1"/>
  <c r="AX58" i="1"/>
  <c r="T58" i="1" s="1"/>
  <c r="V58" i="1" l="1"/>
  <c r="W58" i="1"/>
  <c r="V21" i="1"/>
  <c r="W21" i="1"/>
  <c r="W85" i="1"/>
  <c r="V85" i="1"/>
  <c r="T84" i="1"/>
  <c r="T83" i="1" s="1"/>
  <c r="CO84" i="1"/>
  <c r="AX21" i="1"/>
  <c r="BA51" i="1"/>
  <c r="AX57" i="1"/>
  <c r="T57" i="1" s="1"/>
  <c r="AN56" i="1"/>
  <c r="AN55" i="1"/>
  <c r="CF54" i="1"/>
  <c r="CE54" i="1"/>
  <c r="CD54" i="1"/>
  <c r="CC54" i="1"/>
  <c r="CB54" i="1"/>
  <c r="BV54" i="1"/>
  <c r="BU51" i="1"/>
  <c r="BT54" i="1"/>
  <c r="BS54" i="1"/>
  <c r="BR51" i="1"/>
  <c r="BL54" i="1"/>
  <c r="BJ54" i="1"/>
  <c r="BI54" i="1"/>
  <c r="BB54" i="1"/>
  <c r="AZ54" i="1"/>
  <c r="AY54" i="1"/>
  <c r="AN54" i="1"/>
  <c r="CE16" i="1"/>
  <c r="T55" i="1" l="1"/>
  <c r="V57" i="1"/>
  <c r="W57" i="1"/>
  <c r="W84" i="1"/>
  <c r="V84" i="1"/>
  <c r="W55" i="1"/>
  <c r="V55" i="1"/>
  <c r="W83" i="1"/>
  <c r="V83" i="1"/>
  <c r="AY53" i="1"/>
  <c r="AY52" i="1" s="1"/>
  <c r="CD53" i="1"/>
  <c r="CD52" i="1" s="1"/>
  <c r="CC53" i="1"/>
  <c r="CC52" i="1" s="1"/>
  <c r="CC51" i="1" s="1"/>
  <c r="CC50" i="1" s="1"/>
  <c r="AZ53" i="1"/>
  <c r="AZ52" i="1" s="1"/>
  <c r="BB53" i="1"/>
  <c r="BB52" i="1" s="1"/>
  <c r="BT53" i="1"/>
  <c r="BT52" i="1" s="1"/>
  <c r="BT51" i="1" s="1"/>
  <c r="BT50" i="1" s="1"/>
  <c r="CF53" i="1"/>
  <c r="CF52" i="1" s="1"/>
  <c r="CF51" i="1" s="1"/>
  <c r="CF50" i="1" s="1"/>
  <c r="BV53" i="1"/>
  <c r="BV52" i="1" s="1"/>
  <c r="BV51" i="1" s="1"/>
  <c r="BV50" i="1" s="1"/>
  <c r="BS53" i="1"/>
  <c r="BS52" i="1" s="1"/>
  <c r="BS51" i="1" s="1"/>
  <c r="BS50" i="1" s="1"/>
  <c r="BJ53" i="1"/>
  <c r="BJ52" i="1" s="1"/>
  <c r="BJ51" i="1" s="1"/>
  <c r="BJ50" i="1" s="1"/>
  <c r="BL53" i="1"/>
  <c r="BL52" i="1" s="1"/>
  <c r="BL51" i="1" s="1"/>
  <c r="BL50" i="1" s="1"/>
  <c r="CB53" i="1"/>
  <c r="CB52" i="1" s="1"/>
  <c r="CB51" i="1" s="1"/>
  <c r="CB50" i="1" s="1"/>
  <c r="CB23" i="1" s="1"/>
  <c r="CE53" i="1"/>
  <c r="CO54" i="1"/>
  <c r="BI53" i="1"/>
  <c r="BI52" i="1" s="1"/>
  <c r="BH54" i="1"/>
  <c r="CO83" i="1"/>
  <c r="AN53" i="1"/>
  <c r="AN52" i="1" s="1"/>
  <c r="P50" i="1"/>
  <c r="P23" i="1" s="1"/>
  <c r="CM85" i="1"/>
  <c r="CM61" i="1" s="1"/>
  <c r="CM62" i="1"/>
  <c r="CN85" i="1"/>
  <c r="CN61" i="1" s="1"/>
  <c r="CN62" i="1"/>
  <c r="BH16" i="1"/>
  <c r="BR50" i="1"/>
  <c r="BR23" i="1" s="1"/>
  <c r="CB16" i="1"/>
  <c r="BU16" i="1"/>
  <c r="BU50" i="1"/>
  <c r="BU23" i="1" s="1"/>
  <c r="BA16" i="1"/>
  <c r="BA50" i="1"/>
  <c r="BA23" i="1" s="1"/>
  <c r="AX16" i="1"/>
  <c r="AX53" i="1" l="1"/>
  <c r="AX52" i="1" s="1"/>
  <c r="AX51" i="1" s="1"/>
  <c r="AX50" i="1" s="1"/>
  <c r="AX23" i="1" s="1"/>
  <c r="CE52" i="1"/>
  <c r="CE51" i="1" s="1"/>
  <c r="CO53" i="1"/>
  <c r="CN52" i="1"/>
  <c r="CM52" i="1"/>
  <c r="BH53" i="1"/>
  <c r="BH52" i="1" s="1"/>
  <c r="BH51" i="1" s="1"/>
  <c r="BH50" i="1" s="1"/>
  <c r="BH23" i="1" s="1"/>
  <c r="BI51" i="1"/>
  <c r="BI50" i="1" s="1"/>
  <c r="BI23" i="1" s="1"/>
  <c r="CC17" i="1"/>
  <c r="CC23" i="1"/>
  <c r="BS17" i="1"/>
  <c r="BS15" i="1" s="1"/>
  <c r="BS23" i="1"/>
  <c r="BL17" i="1"/>
  <c r="BL15" i="1" s="1"/>
  <c r="BL23" i="1"/>
  <c r="BJ17" i="1"/>
  <c r="BJ15" i="1" s="1"/>
  <c r="BJ23" i="1"/>
  <c r="BV17" i="1"/>
  <c r="BV23" i="1"/>
  <c r="BT17" i="1"/>
  <c r="BT23" i="1"/>
  <c r="CF17" i="1"/>
  <c r="CF23" i="1"/>
  <c r="CB17" i="1"/>
  <c r="CB15" i="1" s="1"/>
  <c r="P17" i="1"/>
  <c r="BR17" i="1"/>
  <c r="BR15" i="1" s="1"/>
  <c r="BU17" i="1"/>
  <c r="BU15" i="1" s="1"/>
  <c r="BA17" i="1"/>
  <c r="BA15" i="1" s="1"/>
  <c r="AY51" i="1"/>
  <c r="AY50" i="1" s="1"/>
  <c r="AQ51" i="1"/>
  <c r="AZ51" i="1"/>
  <c r="AZ50" i="1" s="1"/>
  <c r="BB51" i="1"/>
  <c r="BB50" i="1" s="1"/>
  <c r="BI47" i="1"/>
  <c r="BI16" i="1" s="1"/>
  <c r="CC47" i="1"/>
  <c r="CC16" i="1" s="1"/>
  <c r="BV47" i="1"/>
  <c r="BV16" i="1" s="1"/>
  <c r="BJ47" i="1"/>
  <c r="CF47" i="1"/>
  <c r="CF16" i="1" s="1"/>
  <c r="BS47" i="1"/>
  <c r="CD51" i="1"/>
  <c r="CD50" i="1" s="1"/>
  <c r="BT47" i="1"/>
  <c r="BT16" i="1" s="1"/>
  <c r="BL47" i="1"/>
  <c r="AW26" i="1"/>
  <c r="AV26" i="1"/>
  <c r="AU26" i="1"/>
  <c r="AT26" i="1"/>
  <c r="AS26" i="1"/>
  <c r="AR26" i="1"/>
  <c r="AQ26" i="1"/>
  <c r="AP26" i="1"/>
  <c r="AO26" i="1"/>
  <c r="AN26" i="1"/>
  <c r="W26" i="1"/>
  <c r="T26" i="1"/>
  <c r="Q26" i="1"/>
  <c r="P26" i="1"/>
  <c r="O26" i="1"/>
  <c r="N26" i="1"/>
  <c r="AW27" i="1"/>
  <c r="AU27" i="1"/>
  <c r="AT27" i="1"/>
  <c r="AR27" i="1"/>
  <c r="AQ27" i="1"/>
  <c r="AP27" i="1"/>
  <c r="AO27" i="1"/>
  <c r="AN27" i="1"/>
  <c r="W27" i="1"/>
  <c r="T27" i="1"/>
  <c r="Q27" i="1"/>
  <c r="P27" i="1"/>
  <c r="O27" i="1"/>
  <c r="AS27" i="1"/>
  <c r="N27" i="1"/>
  <c r="CO52" i="1" l="1"/>
  <c r="AQ50" i="1"/>
  <c r="AQ23" i="1" s="1"/>
  <c r="BI17" i="1"/>
  <c r="BI15" i="1" s="1"/>
  <c r="CE50" i="1"/>
  <c r="CE17" i="1" s="1"/>
  <c r="CE15" i="1" s="1"/>
  <c r="BT15" i="1"/>
  <c r="BH17" i="1"/>
  <c r="BH15" i="1" s="1"/>
  <c r="CF15" i="1"/>
  <c r="CC15" i="1"/>
  <c r="BV15" i="1"/>
  <c r="AZ17" i="1"/>
  <c r="AZ23" i="1"/>
  <c r="AY17" i="1"/>
  <c r="AY23" i="1"/>
  <c r="CD17" i="1"/>
  <c r="CD23" i="1"/>
  <c r="BB17" i="1"/>
  <c r="BB23" i="1"/>
  <c r="AX17" i="1"/>
  <c r="AX15" i="1" s="1"/>
  <c r="BB47" i="1"/>
  <c r="BB16" i="1" s="1"/>
  <c r="AZ47" i="1"/>
  <c r="AZ16" i="1" s="1"/>
  <c r="AY47" i="1"/>
  <c r="AY16" i="1" s="1"/>
  <c r="CD47" i="1"/>
  <c r="CD16" i="1" s="1"/>
  <c r="CN51" i="1"/>
  <c r="CN50" i="1" s="1"/>
  <c r="CN23" i="1" s="1"/>
  <c r="CM51" i="1"/>
  <c r="CM50" i="1" s="1"/>
  <c r="CM23" i="1" s="1"/>
  <c r="BK51" i="1"/>
  <c r="BK50" i="1" s="1"/>
  <c r="BK23" i="1" s="1"/>
  <c r="AV27" i="1"/>
  <c r="AQ17" i="1" l="1"/>
  <c r="AQ15" i="1" s="1"/>
  <c r="CE23" i="1"/>
  <c r="AZ15" i="1"/>
  <c r="CD15" i="1"/>
  <c r="BB15" i="1"/>
  <c r="BK17" i="1"/>
  <c r="BK15" i="1" s="1"/>
  <c r="CN17" i="1"/>
  <c r="CN15" i="1" s="1"/>
  <c r="CM17" i="1"/>
  <c r="CM15" i="1" s="1"/>
  <c r="AY15" i="1"/>
  <c r="CO51" i="1"/>
  <c r="CO50" i="1" s="1"/>
  <c r="CO23" i="1" s="1"/>
  <c r="CO17" i="1" l="1"/>
  <c r="CO15" i="1" s="1"/>
  <c r="AV50" i="1"/>
  <c r="AV23" i="1" s="1"/>
  <c r="AV17" i="1" l="1"/>
  <c r="Q47" i="1"/>
  <c r="Q16" i="1" s="1"/>
  <c r="Q15" i="1" s="1"/>
  <c r="P47" i="1"/>
  <c r="P16" i="1" s="1"/>
  <c r="P15" i="1" s="1"/>
  <c r="N47" i="1"/>
  <c r="I47" i="1"/>
  <c r="O47" i="1" l="1"/>
  <c r="AV47" i="1" l="1"/>
  <c r="AV16" i="1" l="1"/>
  <c r="AV15" i="1" s="1"/>
  <c r="AS47" i="1"/>
  <c r="AS21" i="1"/>
  <c r="AN21" i="1" l="1"/>
  <c r="AN51" i="1" l="1"/>
  <c r="AN50" i="1" s="1"/>
  <c r="AN23" i="1" s="1"/>
  <c r="AX35" i="1"/>
  <c r="AY35" i="1"/>
  <c r="AZ35" i="1"/>
  <c r="BA35" i="1"/>
  <c r="BB35" i="1"/>
  <c r="BH35" i="1"/>
  <c r="BI35" i="1"/>
  <c r="BJ35" i="1"/>
  <c r="BK35" i="1"/>
  <c r="BL35" i="1"/>
  <c r="BR35" i="1"/>
  <c r="BS35" i="1"/>
  <c r="BT35" i="1"/>
  <c r="BU35" i="1"/>
  <c r="BV35" i="1"/>
  <c r="CB35" i="1"/>
  <c r="CC35" i="1"/>
  <c r="CD35" i="1"/>
  <c r="CE35" i="1"/>
  <c r="CF35" i="1"/>
  <c r="CM35" i="1"/>
  <c r="CN35" i="1"/>
  <c r="CO35" i="1"/>
  <c r="CP35" i="1"/>
  <c r="AN17" i="1" l="1"/>
  <c r="AN15" i="1" s="1"/>
  <c r="AS51" i="1" l="1"/>
  <c r="AS50" i="1" s="1"/>
  <c r="AS17" i="1" l="1"/>
  <c r="AS25" i="1" l="1"/>
  <c r="AS24" i="1" s="1"/>
  <c r="AS23" i="1" l="1"/>
  <c r="AS16" i="1"/>
  <c r="AS15" i="1" s="1"/>
  <c r="T54" i="1"/>
  <c r="V54" i="1" s="1"/>
  <c r="T52" i="1" l="1"/>
  <c r="T51" i="1" l="1"/>
  <c r="W52" i="1"/>
  <c r="V52" i="1"/>
  <c r="V51" i="1" l="1"/>
  <c r="W51" i="1"/>
  <c r="T50" i="1"/>
  <c r="T17" i="1" l="1"/>
  <c r="V50" i="1"/>
  <c r="W50" i="1"/>
  <c r="T23" i="1"/>
  <c r="W23" i="1" l="1"/>
  <c r="V23" i="1"/>
  <c r="T15" i="1"/>
  <c r="W17" i="1"/>
  <c r="V17" i="1"/>
  <c r="W15" i="1" l="1"/>
  <c r="V15" i="1"/>
</calcChain>
</file>

<file path=xl/sharedStrings.xml><?xml version="1.0" encoding="utf-8"?>
<sst xmlns="http://schemas.openxmlformats.org/spreadsheetml/2006/main" count="2897" uniqueCount="347">
  <si>
    <t>Инвестиционная программа Общества с ограниченной ответственностью Холдинговая Компания "СДС-Энерго"</t>
  </si>
  <si>
    <t xml:space="preserve">                                                         полное наименование субъекта электроэнергетики</t>
  </si>
  <si>
    <t>Номер группы инвести-ционных проектов</t>
  </si>
  <si>
    <t xml:space="preserve">  Наименование инвестиционного проекта (группы инвестиционных проектов)</t>
  </si>
  <si>
    <t>Текущая стадия реализации инвестиционного проекта</t>
  </si>
  <si>
    <t>Год начала  реализации инвестиционного проекта</t>
  </si>
  <si>
    <t>Полная сметная стоимость инвестиционного проекта в соответствии с утвержденной проектной документацией</t>
  </si>
  <si>
    <t>Размер платы за технологическое присоединение (подключение), млн рублей</t>
  </si>
  <si>
    <t>Оценка полной стоимости инвестиционного проекта в соответствии с укрупненными нормативами цены типовых технологических решений капитального строительства объектов электроэнергетики</t>
  </si>
  <si>
    <t xml:space="preserve">Оценка полной стоимости инвестиционного проекта в прогнозных ценах соответствующих лет, млн рублей (с НДС) </t>
  </si>
  <si>
    <t>Предложение по корректировке утвержденного плана</t>
  </si>
  <si>
    <t>в базисном уровне цен, млн рублей 
(с НДС)</t>
  </si>
  <si>
    <t>в ценах, сложившихся ко времени составления сметной документации, млн рублей (с НДС)</t>
  </si>
  <si>
    <t>месяц и год составления сметной документации</t>
  </si>
  <si>
    <t xml:space="preserve">в текущих ценах, млн рублей (с НДС) </t>
  </si>
  <si>
    <t xml:space="preserve">в прогнозных ценах соответствующих лет, млн рублей 
(с НДС) </t>
  </si>
  <si>
    <t>Общий объем финансирования, в том числе за счет:</t>
  </si>
  <si>
    <t>федерального бюджета</t>
  </si>
  <si>
    <t>бюджетов субъектов Российской Федерации и муниципальных образований</t>
  </si>
  <si>
    <t>средств, полученных от оказания услуг, реализации товаров по регулируемым государством ценам (тарифам)</t>
  </si>
  <si>
    <t>иных источников финансирования</t>
  </si>
  <si>
    <t>1</t>
  </si>
  <si>
    <t>1.1</t>
  </si>
  <si>
    <t>Технологическое присоединение, всего, в том числе:</t>
  </si>
  <si>
    <t>1.1.1</t>
  </si>
  <si>
    <t>Технологическое присоединение энергопринимающих устройств потребителей, всего, в том числе:</t>
  </si>
  <si>
    <t>1.1.1.1</t>
  </si>
  <si>
    <t>Технологическое присоединение энергопринимающих устройств потребителей максимальной мощностью до 15 кВт включительно, всего</t>
  </si>
  <si>
    <t>1.1.1.2</t>
  </si>
  <si>
    <t>Технологическое присоединение энергопринимающих устройств потребителей максимальной мощностью до 150 кВт включительно, всего</t>
  </si>
  <si>
    <t>1.1.1.3</t>
  </si>
  <si>
    <t>Технологическое присоединение энергопринимающих устройств потребителей свыше 150 кВт, всего, в том числе:</t>
  </si>
  <si>
    <t>1.1.2</t>
  </si>
  <si>
    <t>Технологическое присоединение объектов электросетевого хозяйства, всего, в том числе:</t>
  </si>
  <si>
    <t>1.1.2.1</t>
  </si>
  <si>
    <t>Технологическое присоединение объектов электросетевого хозяйства, принадлежащих  иным сетевым организациям и иным лицам, всего, в том числе:</t>
  </si>
  <si>
    <t>1.1.2.2</t>
  </si>
  <si>
    <t>Технологическое присоединение к электрическим сетям иных сетевых организаций, всего, в том числе:</t>
  </si>
  <si>
    <t>1.1.3</t>
  </si>
  <si>
    <t>Технологическое присоединение объектов по производству электрической энергии всего, в том числе:</t>
  </si>
  <si>
    <t>1.1.3.1</t>
  </si>
  <si>
    <t>Наименование объекта по производству электрической энергии, всего, в том числе:</t>
  </si>
  <si>
    <t>Строительство новых объектов электросетевого хозяйства  (за исключением усиления существующей электрической сети) в целях осуществления технологического присоединения объекта по производству электрической энергии, всего, в том числе:</t>
  </si>
  <si>
    <t>Строительство новых объектов электросетевого хозяйства для усиления электрической сети в целях осуществления технологического присоединения объекта по производству электрической энергии, всего, в том числе:</t>
  </si>
  <si>
    <t>Реконструкция существующих объектов электросетевого хозяйства для усиления электрической сети в целях осуществления технологического присоединения объекта по производству электрической энергии всего, в том числе:</t>
  </si>
  <si>
    <t>1.1.3.2</t>
  </si>
  <si>
    <t>Реконструкция существующих объектов электросетевого хозяйства для усиления электрической сети в целях осуществления технологического присоединения объекта по производству электрической энергии, всего, в том числе:</t>
  </si>
  <si>
    <t>1.1.4</t>
  </si>
  <si>
    <t>Усиление электрической сети в целях осуществления технологического присоединения энергопринимающих устройств потребителей и (или) объектов электросетевого хозяйства всего, в том числе:</t>
  </si>
  <si>
    <t>1.1.4.1</t>
  </si>
  <si>
    <t>Строительство новых объектов электросетевого хозяйства для усиления электрической сети в целях осуществления технологического присоединения, всего, в том числе:</t>
  </si>
  <si>
    <t>1.1.4.2</t>
  </si>
  <si>
    <t>Реконструкция существующих объектов электросетевого хозяйства для усиления электрической сети в целях осуществления технологического присоединения, всего, в том числе:</t>
  </si>
  <si>
    <t>1.2</t>
  </si>
  <si>
    <t>Реконструкция, модернизация, техническое перевооружение всего, в том числе:</t>
  </si>
  <si>
    <t>1.2.1</t>
  </si>
  <si>
    <t>Реконструкция, модернизация, техническое перевооружение  трансформаторных и иных подстанций, распределительных пунктов, всего, в том числе:</t>
  </si>
  <si>
    <t>1.2.1.1</t>
  </si>
  <si>
    <t>Реконструкция трансформаторных и иных подстанций, всего, в том числе:</t>
  </si>
  <si>
    <t>1.2.1.2</t>
  </si>
  <si>
    <t>Модернизация, техническое перевооружение трансформаторных и иных подстанций, распределительных пунктов, всего, в том числе:</t>
  </si>
  <si>
    <t>1.2.2</t>
  </si>
  <si>
    <t>Реконструкция, модернизация, техническое перевооружение линий электропередачи, всего, в том числе:</t>
  </si>
  <si>
    <t>1.2.2.1</t>
  </si>
  <si>
    <t>Реконструкция линий электропередачи, всего, в том числе:</t>
  </si>
  <si>
    <t>1.2.2.2</t>
  </si>
  <si>
    <t>Модернизация, техническое перевооружение линий электропередачи, всего, в том числе:</t>
  </si>
  <si>
    <t>1.2.3</t>
  </si>
  <si>
    <t>Развитие и модернизация учета электрической энергии (мощности), всего, в том числе:</t>
  </si>
  <si>
    <t>1.2.3.1</t>
  </si>
  <si>
    <t>«Установка приборов учета, класс напряжения 0,22 (0,4) кВ, всего, в том числе:»</t>
  </si>
  <si>
    <t>1.2.3.2</t>
  </si>
  <si>
    <t>«Установка приборов учета, класс напряжения 6 (10) кВ, всего, в том числе:»</t>
  </si>
  <si>
    <t>1.2.3.3</t>
  </si>
  <si>
    <t>«Установка приборов учета, класс напряжения 35 кВ, всего, в том числе:»</t>
  </si>
  <si>
    <t>1.2.3.4</t>
  </si>
  <si>
    <t>«Установка приборов учета, класс напряжения 110 кВ и выше, всего, в том числе:»</t>
  </si>
  <si>
    <t>1.2.3.5</t>
  </si>
  <si>
    <t>«Включение приборов учета в систему сбора и передачи данных, класс напряжения 0,22 (0,4) кВ, всего, в том числе:»</t>
  </si>
  <si>
    <t>1.2.3.6</t>
  </si>
  <si>
    <t>«Включение приборов учета в систему сбора и передачи данных, класс напряжения 6 (10) кВ, всего, в том числе:»</t>
  </si>
  <si>
    <t>1.2.3.7</t>
  </si>
  <si>
    <t>«Включение приборов учета в систему сбора и передачи данных, класс напряжения 35 кВ, всего, в том числе:»</t>
  </si>
  <si>
    <t>1.2.3.8</t>
  </si>
  <si>
    <t>«Включение приборов учета в систему сбора и передачи данных, класс напряжения 110 кВ и выше, всего, в том числе:»</t>
  </si>
  <si>
    <t>1.2.4</t>
  </si>
  <si>
    <t>Реконструкция, модернизация, техническое перевооружение прочих объектов основных средств, всего, в том числе:</t>
  </si>
  <si>
    <t>1.2.4.1</t>
  </si>
  <si>
    <t>Реконструкция прочих объектов основных средств, всего, в том числе:</t>
  </si>
  <si>
    <t>1.2.4.2</t>
  </si>
  <si>
    <t>Модернизация, техническое перевооружение прочих объектов основных средств, всего, в том числе:</t>
  </si>
  <si>
    <t>1.3</t>
  </si>
  <si>
    <t>Инвестиционные проекты, реализация которых обуславливается схемами и программами перспективного развития электроэнергетики, всего, в том числе:</t>
  </si>
  <si>
    <t>1.3.1</t>
  </si>
  <si>
    <t>Инвестиционные проекты, предусмотренные схемой и программой развития Единой энергетической системы России, всего, в том числе:</t>
  </si>
  <si>
    <t>1.3.2</t>
  </si>
  <si>
    <t>Инвестиционные проекты, предусмотренные схемой и программой развития субъекта Российской Федерации, всего, в том числе:</t>
  </si>
  <si>
    <t>1.4</t>
  </si>
  <si>
    <t>Прочее новое строительство объектов электросетевого хозяйства, всего, в том числе:</t>
  </si>
  <si>
    <t>1.5</t>
  </si>
  <si>
    <t>Покупка земельных участков для целей реализации инвестиционных проектов, всего, в том числе:</t>
  </si>
  <si>
    <t>1.6</t>
  </si>
  <si>
    <t>Прочие инвестиционные проекты, всего, в том числе:</t>
  </si>
  <si>
    <t>нд</t>
  </si>
  <si>
    <t>1.6.1</t>
  </si>
  <si>
    <t>1.6.2</t>
  </si>
  <si>
    <t>1.2.1.1.1</t>
  </si>
  <si>
    <t>1.2.1.1.2</t>
  </si>
  <si>
    <t>1.2.1.1.3</t>
  </si>
  <si>
    <t>Кемеровская область</t>
  </si>
  <si>
    <t>1.6.3</t>
  </si>
  <si>
    <t>Н</t>
  </si>
  <si>
    <t>Г</t>
  </si>
  <si>
    <t xml:space="preserve">Остаток финансирования капитальных вложений в прогнозных ценах соответствующих лет,  
млн рублей 
(с НДС) </t>
  </si>
  <si>
    <t>реквизиты решения органа исполнительной власти, утвердившего инвестиционную программу</t>
  </si>
  <si>
    <t>Год окончания реализации инвестиционного проекта</t>
  </si>
  <si>
    <t>1.2.1.1.4</t>
  </si>
  <si>
    <t>1.2.1.1.5</t>
  </si>
  <si>
    <t>1.2.1.1.6</t>
  </si>
  <si>
    <t>Идентификатор инвестиционного проекта</t>
  </si>
  <si>
    <t>1.2.1.1.7</t>
  </si>
  <si>
    <t>1.2.1.1.8</t>
  </si>
  <si>
    <t>1.2.1.1.9</t>
  </si>
  <si>
    <t>1.2.1.1.10</t>
  </si>
  <si>
    <t>1.2.1.1.11</t>
  </si>
  <si>
    <t>1.2.1.1.12</t>
  </si>
  <si>
    <t>1.2.1.1.13</t>
  </si>
  <si>
    <t>1.2.1.1.14</t>
  </si>
  <si>
    <t>1.2.2.1.1</t>
  </si>
  <si>
    <t>1.2.2.1.2</t>
  </si>
  <si>
    <t>Повышение надежности электроснабжения и обеспечение безперебойности работы оборудования</t>
  </si>
  <si>
    <t>Обеспечение выполнения мероприятий, предусмотренных требованиями РД 34.45-51.300-97 (объем и нормы испытаний и измерений)</t>
  </si>
  <si>
    <t>Реконструкция ОРУ-35 кВ, ЗРУ-6 кВ ПС 35/6 кВ № 42 с устройством РЗиА и установкой ШОТ (ПИР - 2023 г., СМР, ввод - 2026 г.)</t>
  </si>
  <si>
    <t>N_1.2.1.1.20</t>
  </si>
  <si>
    <t>ноябрь 2023 г.</t>
  </si>
  <si>
    <t>Реконструкция РУ-6 кВ, РЗА  ПС 35/6 кВ № 41 с установкой блок-модулей 1, 2 сек.6 кВ с ОПУ (ПИР - 2016 г., СМР, ввод - 2025 г.)</t>
  </si>
  <si>
    <t>Реконструкция ОРУ-35 кВ  ПС 35/6 кВ № 2 с заменой вводных и секционного выключателей 6 кВ (ПИР - 2026 г., СМР, ввод - 2027 г.)</t>
  </si>
  <si>
    <t>Реконструкция РЗиА по стороне 6,110 кВ ПС 110/6 кВ Набережная (ПИР - 2026 г., СМР, ввод - 2027 г.)</t>
  </si>
  <si>
    <t>Реконструкция ПС 35/6 кВ № 31 с заменой  ячеек 6 кВ с масляными выключателями  на вакуумные с устройствами РЗиА (ПИР - 2026 г., СМР, ввод - 2027 г.)</t>
  </si>
  <si>
    <t>Замена трансформатора ТСН-2  6/0,23 кВ 250 кВА на ПС 35/6 кВ № 1 (СМР, ввод - 2025 г.)</t>
  </si>
  <si>
    <t>Замена отработавшего срок эксплуатации трансформатора Т-1 ТДНС-16000 кВА 35/6 кВ на ПС Шурапская (СМР, ввод - 2028 г.)</t>
  </si>
  <si>
    <t>Замена отработавшего срок эксплуатации трансформатора Т-2 ТДНС-15000 кВА 35/6 кВ на трансформатор мощностью 10000 кВА ПС 35/6 кВ № 31 (СМР, ввод - 2029 г.)</t>
  </si>
  <si>
    <t>Замена отработавшего срок эксплуатации трансформатора Т-1 ТДНС-10000 кВА 35/6 кВ на ПС 35/6 кВ № 42 (СМР, ввод - 2029 г.)</t>
  </si>
  <si>
    <t>Реконструкция ВЛ 35 кВ, 35-К-10, 35-К-12 в части замены опор (ПИР - 2028 г., СМР, ввод - 2029 г.)</t>
  </si>
  <si>
    <t>1.2.2.2.1</t>
  </si>
  <si>
    <t>Дооборудование ВЛ 10 кВ 10-20-МП с установкой 1 реклоузера (ПИР, СМР, ввод - 2025 г.)</t>
  </si>
  <si>
    <t>1.2.2.2.2</t>
  </si>
  <si>
    <t>Дооборудование ВЛ 10 кВ 10-18-П отпайка с установкой 1 реклоузера (ПИР, СМР, ввод - 2025 г.)</t>
  </si>
  <si>
    <t>1.2.2.2.3</t>
  </si>
  <si>
    <t>октябрь 2023 г.</t>
  </si>
  <si>
    <t>Приобретение сварочного генератора (ввод - 2025 г.)</t>
  </si>
  <si>
    <t>ВСЕГО по инвестиционной программе, в том числе:</t>
  </si>
  <si>
    <t>0.1</t>
  </si>
  <si>
    <t>Технологическое присоединение, всего</t>
  </si>
  <si>
    <t>0.2</t>
  </si>
  <si>
    <t>Реконструкция, модернизация, техническое перевооружение, всего</t>
  </si>
  <si>
    <t>0.3</t>
  </si>
  <si>
    <t>Инвестиционные проекты, реализация которых обуславливается схемами и программами перспективного развития электроэнергетики, всего</t>
  </si>
  <si>
    <t>0.4</t>
  </si>
  <si>
    <t>Прочее новое строительство объектов электросетевого хозяйства, всего</t>
  </si>
  <si>
    <t>0.5</t>
  </si>
  <si>
    <t>Покупка земельных участков для целей реализации инвестиционных проектов, всего</t>
  </si>
  <si>
    <t>0.6</t>
  </si>
  <si>
    <t>Прочие инвестиционные проекты, всего</t>
  </si>
  <si>
    <t>Обновление аппаратно-программного комплекса</t>
  </si>
  <si>
    <t>Реконструкция ВЛ фид. 16 ПС 6/0,4 кВ № 20ст с заменой опор, линейной арматуры, провода на СИП и установкой 1 реклоузера (ПИР, СМР, ввод - 2025 г.)</t>
  </si>
  <si>
    <t xml:space="preserve">Реконструкция ЗРУ-6 кВ ПС 35/6 кВ № 5 замена вводных и секционного масляного выключателей на вакуумные и их устройств РЗиА (ПИР, СМР, ввод - 2028 г.) </t>
  </si>
  <si>
    <t xml:space="preserve">Реконструкция ПС 110/35/6 кВ № 37 с заменой, вводных и секционного   масляных выключателей на вакуумные и устройств РЗиА по стороне 6, 35, 110 кВ (ПИР - 2028 г., СМР, ввод - 2029 г.) </t>
  </si>
  <si>
    <t>O_1.2.1.1.2</t>
  </si>
  <si>
    <t>O_1.2.1.1.3</t>
  </si>
  <si>
    <t>O_1.2.1.1.4</t>
  </si>
  <si>
    <t>O_1.2.1.1.5</t>
  </si>
  <si>
    <t>O_1.2.1.1.6</t>
  </si>
  <si>
    <t>O_1.2.1.1.7</t>
  </si>
  <si>
    <t>O_1.2.1.1.8</t>
  </si>
  <si>
    <t>O_1.2.1.1.9</t>
  </si>
  <si>
    <t>O_1.2.1.1.10</t>
  </si>
  <si>
    <t>O_1.2.1.1.11</t>
  </si>
  <si>
    <t>O_1.2.1.1.12</t>
  </si>
  <si>
    <t>O_1.2.1.1.13</t>
  </si>
  <si>
    <t>O_1.2.1.1.14</t>
  </si>
  <si>
    <t>O_1.2.2.1.1</t>
  </si>
  <si>
    <t>O_1.2.2.1.2</t>
  </si>
  <si>
    <t>O_1.2.2.2.1</t>
  </si>
  <si>
    <t>O_1.2.2.2.2</t>
  </si>
  <si>
    <t>O_1.2.2.2.3</t>
  </si>
  <si>
    <t>Год раскрытия информации: 2024 год</t>
  </si>
  <si>
    <t>Форма 2. План финансирования капитальных вложений по инвестиционным проектам на 2024 - 2029 гг.</t>
  </si>
  <si>
    <t>Строительство ЛЭП-6 кВ от линейной ячейки №8 ПС 35 кВ №5 (СМР, ввод - 2024 г.)</t>
  </si>
  <si>
    <t>O_1.1.1.3.1</t>
  </si>
  <si>
    <t>1.1.1.3.1</t>
  </si>
  <si>
    <t>С</t>
  </si>
  <si>
    <t xml:space="preserve">Фактический объем финансирования на 01.01.2023 года, млн рублей 
(с НДС) </t>
  </si>
  <si>
    <t xml:space="preserve">План 
на 01.01.2023 года </t>
  </si>
  <si>
    <t>Финансирование капитальных вложений на 2024 - 2029
годы в прогнозных ценах, млн рублей (с НДС)</t>
  </si>
  <si>
    <t>Финансирование капитальных вложений 
2023 года в прогнозных ценах, млн рублей (с НДС)</t>
  </si>
  <si>
    <t>Осуществление технологического присоединения</t>
  </si>
  <si>
    <t>Реконструкция ОРУ-35 кВ ПС 35/6 кВ № 41 с установкой блок-модуля 35 кВ (СМР, ПНР, ввод - 2024 г.)</t>
  </si>
  <si>
    <t>O_1.2.1.1.15</t>
  </si>
  <si>
    <t>1.2.1.1.15</t>
  </si>
  <si>
    <t>1.2.1.1.16</t>
  </si>
  <si>
    <t>1.2.1.1.17</t>
  </si>
  <si>
    <t>1.2.1.1.18</t>
  </si>
  <si>
    <t>1.2.1.1.19</t>
  </si>
  <si>
    <t>1.2.1.1.20</t>
  </si>
  <si>
    <t>1.2.1.1.21</t>
  </si>
  <si>
    <t>1.2.1.1.22</t>
  </si>
  <si>
    <t>1.2.1.1.23</t>
  </si>
  <si>
    <t>Замена КТП 160 кВА типа КТПН-ВК-1А-63/10/0,4 (инв.№ 00001390)  на ТП "Ключи" без силового трансформатора (СМР, ПНР, ввод - 2024 г.)</t>
  </si>
  <si>
    <t>Замена КТП 250 кВА (инв.№ 00001389) на ПС №6 (СМР, ПНР, ввод - 2024 г.)</t>
  </si>
  <si>
    <t>Замена КТП 250 кВА (инв.№ 00001388) Ново-Сафоново (СМР, ПНР, ввод - 2024 г.)</t>
  </si>
  <si>
    <t>Замена Трансформатора Т-1 типа ТМ-1600кВА (инв.№ 00002155) ПС №29 (СМР, ПНР, ввод - 2024 г.)</t>
  </si>
  <si>
    <t>Замена шкафа оперативного постоянного тока ШОТ-1 (инв.№00002332) подстанции 6/0,4кВ №26 на новый (СМР, ПНР, ввод - 2024 г.)</t>
  </si>
  <si>
    <t>Замена шкафа ШОТ1М-220-12-17-60-6-24-21УХЛ3.1 (инв.№00003555) подстанции 110/6кВ «Листвяжная» на новый (СМР, ПНР, ввод - 2024 г.)</t>
  </si>
  <si>
    <t>O_1.2.1.1.18</t>
  </si>
  <si>
    <t>O_1.2.1.1.19</t>
  </si>
  <si>
    <t>O_1.2.1.1.20</t>
  </si>
  <si>
    <t>O_1.2.1.1.21</t>
  </si>
  <si>
    <t>Устройство маслоприемников, маслоотводов и маслосборников закрытого типа на ПС 35/6 кВ № 41 для трансформаторов силовых ТДНС-10000/35 УХЛ1 (инв. №№ 00002126; 0002127). (ПИР - 2023 г., СМР, ввод - 2024 г.)</t>
  </si>
  <si>
    <t>Реконструкция ЗРУ-35 кВ ПС 35/6 кВ "ОГР" с заменой ячеек КРУ-35. (ПИР - 2022 г.СМР, ПНР, ввод - 2024 г.)</t>
  </si>
  <si>
    <t>O_1.2.1.1.22</t>
  </si>
  <si>
    <t>O_1.2.1.1.23</t>
  </si>
  <si>
    <t>M_1.2.1.1.13</t>
  </si>
  <si>
    <t>N_1.2.1.1.17</t>
  </si>
  <si>
    <t>1.2.2.2.4</t>
  </si>
  <si>
    <t>Строительство сооружения линейного электротехнического: отпайка от ВЛЗ-6 кВ ф.2 ПС №10 для резервного питания ПС № 22  (ПИР, СМР, ПНР, ввод - 2024 г.)</t>
  </si>
  <si>
    <t>O_1.2.2.2.4</t>
  </si>
  <si>
    <t>1.6.4</t>
  </si>
  <si>
    <t>1.6.5</t>
  </si>
  <si>
    <t>1.6.6</t>
  </si>
  <si>
    <t>1.6.7</t>
  </si>
  <si>
    <t>Замена МФУ (ввод - 2024 г.)</t>
  </si>
  <si>
    <t>Проектирование и монтаж системы пожарной сигнализации, системы оповещения и управления эвакуацией людей при пожаре на Подстанция 35/6 кВ «Шурапская» (ПИР, СМР, ввод - 2024 г.)</t>
  </si>
  <si>
    <t>O_1.6.4</t>
  </si>
  <si>
    <t>O_1.6.5</t>
  </si>
  <si>
    <t>O_1.6.6</t>
  </si>
  <si>
    <t>декабрь 2023 г.</t>
  </si>
  <si>
    <t>Выполнение требований нормативно-правовых актов</t>
  </si>
  <si>
    <t>январь 2024 г.</t>
  </si>
  <si>
    <t>O_1.6.7</t>
  </si>
  <si>
    <t>Приобретение измельчителя веток (мульчер) на базе автомобильного прицепа (ввод - 2024 г.)</t>
  </si>
  <si>
    <t>июль 2023 г.</t>
  </si>
  <si>
    <t>Факт 2023 г.</t>
  </si>
  <si>
    <t>Краткое обоснование  корректировки утвержденного плана</t>
  </si>
  <si>
    <t>1.2.1.1.24</t>
  </si>
  <si>
    <t>O_1.2.1.1.24</t>
  </si>
  <si>
    <t>Реконструкция ПС 35/6 кВ "Шурапская" с заменой ячеек К-65 на блок-модуль ЗРУ-35 с устройствами РЗиА (ПИР, СМР, ПНР, ввод - 2025 г.)</t>
  </si>
  <si>
    <t>Строительство сетей 0,4 кВ на промплощадке Филиала ООО ХК "СДС-Энерго"-"Прокопьевскэнерго" (ПИР, СМР, ввод - 2029 г.)</t>
  </si>
  <si>
    <t>Замена разъединителей 110 кВ на ПС 110/35/6 кВ  № 37 (СМР, ввод - 2027 г.)</t>
  </si>
  <si>
    <t>Замена аккумуляторных батарей и зарядного устройства на ПС 110/35/6 кВ № 37 (СМР, ввод - 2029 г.)</t>
  </si>
  <si>
    <t>1.2.1.1.25</t>
  </si>
  <si>
    <t>1.2.1.1.26</t>
  </si>
  <si>
    <t>1.2.1.1.27</t>
  </si>
  <si>
    <t>1.2.1.1.28</t>
  </si>
  <si>
    <t>1.2.1.1.29</t>
  </si>
  <si>
    <t>август 2024 г.</t>
  </si>
  <si>
    <t>Замена отработавшего срок эксплуатации трансформатора Т-1 ТДНС-15000 кВА 35/6 кВ на трансформатор мощностью 10000 кВА ПС 35/6 кВ № 5 (СМР, ввод - 2026 г.)</t>
  </si>
  <si>
    <t>O_1.2.1.1.25</t>
  </si>
  <si>
    <t>Замена отработавшего срок эксплуатации трансформатора Т-2 ТДНС-10000 кВА  на ПС 35/6 кВ ПС № 10 (СМР, ввод - 2026 г.)</t>
  </si>
  <si>
    <t>O_1.2.1.1.26</t>
  </si>
  <si>
    <t>Замена сервера в Филиале ООО ХК "СДС-Энерго"-"Прокопьевскэнерго" (Ввод - 2029 г.)</t>
  </si>
  <si>
    <t>Замена отработавшего срок эксплуатации трансформатора Т-3 ТДНС-16000 кВА  на ПС 35/6 кВ ПС № 1 (СМР, ввод - 2028 г.)</t>
  </si>
  <si>
    <t>Замена отработавшего срок эксплуатации трансформатора Т-2 ТДНС-16000 кВА  на ПС 35/6 кВ Шурапская (СМР, ввод - 2027 г.)</t>
  </si>
  <si>
    <t>O_1.2.1.1.27</t>
  </si>
  <si>
    <t>O_1.2.1.1.28</t>
  </si>
  <si>
    <t>O_1.2.1.1.29</t>
  </si>
  <si>
    <t>Замена ЗРУ-6 кВ ПС 6/0,4 кВ №3 на 2КТП 630/6/0,4  (СМР, ввод - 2029 г.)</t>
  </si>
  <si>
    <t>Приобретение прибора миллиомметра МИКО-8МА (Ввод - 2029 г.)</t>
  </si>
  <si>
    <t xml:space="preserve">Утвержденный план </t>
  </si>
  <si>
    <t xml:space="preserve">Предложение по корректировке утвержденного плана  01.01.2025 года </t>
  </si>
  <si>
    <t xml:space="preserve"> Утвержденный план  2024 г.</t>
  </si>
  <si>
    <t>Факт 2024 г.</t>
  </si>
  <si>
    <t>Предложение по корректировке утвержденного плана на 2025 г.</t>
  </si>
  <si>
    <t>Модернизация корпоративной системы электронного документооборота DIRECTUM RX (ввод - 2025 г.)</t>
  </si>
  <si>
    <t>Дооборудование подстанций системой АПС (ввод - 2024 г.)</t>
  </si>
  <si>
    <t>O_1.6.8</t>
  </si>
  <si>
    <t>O_1.6.9</t>
  </si>
  <si>
    <t>СЕРВЕР СТОЕЧНЫЙ DEPO STORM 3470Z2R  XEON SILVER 2X4314 16X32GB 2X480GB SSD 6X1920GB SSD L93618I  2x1 (ввод - 2024г. )</t>
  </si>
  <si>
    <t>O_1.6.11</t>
  </si>
  <si>
    <t>1.1.1.3.2</t>
  </si>
  <si>
    <t>1.1.1.3.3</t>
  </si>
  <si>
    <t>1.1.1.3.4</t>
  </si>
  <si>
    <t>1.6.8</t>
  </si>
  <si>
    <t>1.6.9</t>
  </si>
  <si>
    <t>1.6.10</t>
  </si>
  <si>
    <t>Отпайка от ЛЭП-10 кВ 10-18-П по ИП 10/0,4 кВ ГРС, ЛЭП-0,4 кВ "Газпром газификация"  (ПИР, СМР, ввод - 2024 г.)</t>
  </si>
  <si>
    <t>O_1.1.1.3.2</t>
  </si>
  <si>
    <t>Строительство ВЛ3-6 кВ от ПС №25 и КТП (ПИР, СМР, ввод - 2024 г.)</t>
  </si>
  <si>
    <t>O_1.1.1.3.3</t>
  </si>
  <si>
    <t>Строительство ВЛЗ-6кВ ф.26 ПС 110 кВ №37 до зем.уч-ка кадастр.номер 42:10:0201006:201 (ПИР-2024, СМР, ввод - 2025 г.)</t>
  </si>
  <si>
    <t>O_1.1.1.3.4</t>
  </si>
  <si>
    <t>Реконструкция РЗиА 6, 35 кВ, ЗРУ-6, 35 кВ,  ПС 35/6 кВ № 1 с  установкой ШОТ (ПИР - 2026 г., СМР, ввод - 2027 г., 2028 г.)</t>
  </si>
  <si>
    <t>1.2.2.1.3</t>
  </si>
  <si>
    <t>Реконструкция ВПС и КТП-3 (инв. № 00003557) в части установки опор, реклоузеров (с кабельными вставками) и реконструкции внутриплощадочной сети электропередач 10кВ и КТП-5 (инв. № 00003558), ВПС 10 кВ и КТП-1 (инв. № 00003655), ВПС 10 кВ и КТП-4 (инв. № 00003657), ВПС 10 кВ и КТП-6 в части прокладки кабельных линий (ПИР, СМР, ввод - 2025 г.)</t>
  </si>
  <si>
    <t>1.6.11</t>
  </si>
  <si>
    <t>Замена системы видеонаблюдения на промплощадке (ПИР - 2025 г, ввод - 2026 г.)</t>
  </si>
  <si>
    <t>1.6.12</t>
  </si>
  <si>
    <t>Монтаж системы пожарной сигнализации, системы оповещения и управления эвакуацие людей на ПС 1, 10, 37, 2, 5, 31,Маслохозяйство (ПИР - 2025 г., ввод - 2027 г.)</t>
  </si>
  <si>
    <t>1.6.13</t>
  </si>
  <si>
    <t>Предложение по корректировке утвержденного плана на 2026 г.</t>
  </si>
  <si>
    <t>Утвержденный план 2025 г.</t>
  </si>
  <si>
    <t xml:space="preserve"> Утвержденный план 2026 г.</t>
  </si>
  <si>
    <t xml:space="preserve"> Утвержденный план  2027 г.</t>
  </si>
  <si>
    <t>Предложение по корректировке утвержденного плана на 2027 г</t>
  </si>
  <si>
    <t>Утвержденный план 2028 г.</t>
  </si>
  <si>
    <t>Предложение по корректировке утвержденного плана на 2028 г</t>
  </si>
  <si>
    <t>Утвержденный план 2029 г.</t>
  </si>
  <si>
    <t>Предложение по корректировке утвержденного плана на 2029 г</t>
  </si>
  <si>
    <t>Итого за период реализации инвестиционной программы
(Утвержденный план)</t>
  </si>
  <si>
    <t>Итого за период реализации инвестиционной программы
(Предложение по корректировке утвержденного плана)</t>
  </si>
  <si>
    <t>декабрь 2024 г.</t>
  </si>
  <si>
    <t>сентябрь 2024 г.</t>
  </si>
  <si>
    <t>1.1.1.3.5</t>
  </si>
  <si>
    <t>Строительство КТП-5а и КЛ №111 от КТП-5 до КТП-5а (ПИР, СМР-2025г.)</t>
  </si>
  <si>
    <t>1.1.1.3.6</t>
  </si>
  <si>
    <t>Строительство КЛ ф.6-2-8 от ПС Лутугинская (СМР-2025г.)</t>
  </si>
  <si>
    <t>О_1.6.1</t>
  </si>
  <si>
    <t>О_1.6.2</t>
  </si>
  <si>
    <t>О_1.6.3</t>
  </si>
  <si>
    <t>Монтаж системы пожарной сигнализации, системы оповещения и управления эвакуацие людей на ПС 20, Листвяжная, Лутугинская (ПИР - 2024г., ввод - 2025 г.)</t>
  </si>
  <si>
    <t>P_1.6.12</t>
  </si>
  <si>
    <t>P_1.6.13</t>
  </si>
  <si>
    <t>Замена водонагревателя на промплощадке (СМР, ввод - 2025 г.)</t>
  </si>
  <si>
    <t>P_1.6.14</t>
  </si>
  <si>
    <t>P_1.2.2.1.3</t>
  </si>
  <si>
    <t>P_1.1.1.3.5</t>
  </si>
  <si>
    <t>P_1.1.1.3.6</t>
  </si>
  <si>
    <t xml:space="preserve">План 
на 01.01.2025 года </t>
  </si>
  <si>
    <t>Утвержденные плановые значения показателей приведены в соответствии с Постановлением Региональной энергетической комиссии Кузбасса № 448 от 30.11.2024 года  «Об утверждении инвестиционной программы ООО ХК «СДС-Энерго» (г. Кемерово) на период 2024 - 2029 г.»</t>
  </si>
  <si>
    <t>ДОКУМЕНТ ПОДПИСАН ЭЛЕКТРОННОЙ ПОДПИСЬЮ</t>
  </si>
  <si>
    <t>ПОДЛИННОСТЬ ДОКУМЕНТА ПОДТВЕРЖДЕНА.</t>
  </si>
  <si>
    <t>ПРОВЕРЕНО В ПРОГРАММЕ КРИПТОАРМ.</t>
  </si>
  <si>
    <t>Подпись</t>
  </si>
  <si>
    <t>Общий статус подписи</t>
  </si>
  <si>
    <t>Подпись верна</t>
  </si>
  <si>
    <t>Владелец</t>
  </si>
  <si>
    <t>Чупахин, Евгений Валентинович, ГЕНЕРАЛЬНЫЙ ДИРЕКТОР, ООО ХК "СДС - ЭНЕРГО", ООО ХК "СДС - ЭНЕРГО", пр-кт Октябрьский, 53/2, оф 401, г. Кемерово, 42 Кемеровская Область - Кузбасс, RU, 420519249628, 1064250010241, 04613114514, 4250003450</t>
  </si>
  <si>
    <t>Издатель</t>
  </si>
  <si>
    <t>Федеральная налоговая служба, Федеральная налоговая служба, ул. Неглинная, д. 23, г. Москва, 77 Москва, RU, 1047707030513, uc@tax.gov.ru, 7707329152</t>
  </si>
  <si>
    <t>Серийный номер</t>
  </si>
  <si>
    <t>024F161D0069B11B8641B4C1BF02346F7B</t>
  </si>
  <si>
    <t>Сертификат действителен с</t>
  </si>
  <si>
    <t>07.05.2024 08:35:54 UTC+07</t>
  </si>
  <si>
    <t>Сертификат действителен до</t>
  </si>
  <si>
    <t>07.08.2025 08:45:54 UTC+07</t>
  </si>
  <si>
    <t>Дата и время создания ЭП</t>
  </si>
  <si>
    <t>21.04.2025 08:50:19 UTC+07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</si>
</sst>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"/>
    <numFmt numFmtId="165" formatCode="#,##0.000"/>
    <numFmt numFmtId="166" formatCode="0.0000000000"/>
    <numFmt numFmtId="167" formatCode="0.0000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u/>
      <sz val="14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rgb="FFFF000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ck">
        <color rgb="FFFF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88">
    <xf numFmtId="0" fontId="0" fillId="0" borderId="0" xfId="0"/>
    <xf numFmtId="0" fontId="2" fillId="0" borderId="0" xfId="1" applyFont="1" applyFill="1"/>
    <xf numFmtId="0" fontId="4" fillId="0" borderId="0" xfId="1" applyFont="1" applyFill="1" applyAlignment="1">
      <alignment vertical="center"/>
    </xf>
    <xf numFmtId="0" fontId="3" fillId="0" borderId="0" xfId="1" applyFont="1" applyFill="1" applyAlignment="1"/>
    <xf numFmtId="0" fontId="2" fillId="0" borderId="0" xfId="1" applyFont="1" applyFill="1" applyAlignment="1"/>
    <xf numFmtId="0" fontId="2" fillId="0" borderId="12" xfId="1" applyFont="1" applyFill="1" applyBorder="1" applyAlignment="1">
      <alignment horizontal="center" vertical="center" textRotation="90" wrapText="1"/>
    </xf>
    <xf numFmtId="0" fontId="3" fillId="0" borderId="0" xfId="1" applyFont="1" applyFill="1" applyAlignment="1">
      <alignment horizontal="right"/>
    </xf>
    <xf numFmtId="0" fontId="6" fillId="0" borderId="0" xfId="1" applyFont="1" applyFill="1" applyAlignment="1">
      <alignment vertical="center"/>
    </xf>
    <xf numFmtId="0" fontId="2" fillId="0" borderId="0" xfId="1" applyFont="1" applyFill="1" applyAlignment="1">
      <alignment vertical="center"/>
    </xf>
    <xf numFmtId="0" fontId="4" fillId="0" borderId="0" xfId="2" applyFont="1" applyFill="1" applyAlignment="1">
      <alignment vertical="center"/>
    </xf>
    <xf numFmtId="0" fontId="2" fillId="0" borderId="0" xfId="2" applyFont="1" applyFill="1" applyAlignment="1">
      <alignment vertical="top"/>
    </xf>
    <xf numFmtId="164" fontId="2" fillId="0" borderId="3" xfId="0" applyNumberFormat="1" applyFont="1" applyFill="1" applyBorder="1" applyAlignment="1">
      <alignment horizontal="center" vertical="center"/>
    </xf>
    <xf numFmtId="49" fontId="8" fillId="0" borderId="2" xfId="2" applyNumberFormat="1" applyFont="1" applyFill="1" applyBorder="1" applyAlignment="1">
      <alignment horizontal="center" vertical="center"/>
    </xf>
    <xf numFmtId="0" fontId="8" fillId="0" borderId="2" xfId="2" applyFont="1" applyFill="1" applyBorder="1" applyAlignment="1">
      <alignment horizontal="center" vertical="center" wrapText="1"/>
    </xf>
    <xf numFmtId="0" fontId="6" fillId="0" borderId="3" xfId="2" applyFont="1" applyFill="1" applyBorder="1" applyAlignment="1">
      <alignment horizontal="center" vertical="center"/>
    </xf>
    <xf numFmtId="164" fontId="6" fillId="0" borderId="3" xfId="2" applyNumberFormat="1" applyFont="1" applyFill="1" applyBorder="1" applyAlignment="1">
      <alignment horizontal="center" vertical="center"/>
    </xf>
    <xf numFmtId="0" fontId="2" fillId="0" borderId="3" xfId="2" applyFont="1" applyFill="1" applyBorder="1" applyAlignment="1">
      <alignment horizontal="center" vertical="center"/>
    </xf>
    <xf numFmtId="49" fontId="5" fillId="0" borderId="2" xfId="2" applyNumberFormat="1" applyFont="1" applyFill="1" applyBorder="1" applyAlignment="1">
      <alignment horizontal="center" vertical="center"/>
    </xf>
    <xf numFmtId="0" fontId="5" fillId="0" borderId="2" xfId="2" applyFont="1" applyFill="1" applyBorder="1" applyAlignment="1">
      <alignment horizontal="center" vertical="center" wrapText="1"/>
    </xf>
    <xf numFmtId="164" fontId="2" fillId="0" borderId="3" xfId="2" applyNumberFormat="1" applyFont="1" applyFill="1" applyBorder="1" applyAlignment="1">
      <alignment horizontal="center" vertical="center"/>
    </xf>
    <xf numFmtId="0" fontId="2" fillId="0" borderId="2" xfId="2" applyFont="1" applyFill="1" applyBorder="1" applyAlignment="1">
      <alignment horizontal="left" vertical="center" wrapText="1"/>
    </xf>
    <xf numFmtId="164" fontId="2" fillId="0" borderId="2" xfId="2" applyNumberFormat="1" applyFont="1" applyFill="1" applyBorder="1" applyAlignment="1">
      <alignment horizontal="center" vertical="center"/>
    </xf>
    <xf numFmtId="164" fontId="2" fillId="0" borderId="3" xfId="2" applyNumberFormat="1" applyFont="1" applyFill="1" applyBorder="1" applyAlignment="1">
      <alignment horizontal="center" vertical="center" wrapText="1"/>
    </xf>
    <xf numFmtId="0" fontId="2" fillId="0" borderId="2" xfId="2" applyFont="1" applyFill="1" applyBorder="1" applyAlignment="1">
      <alignment horizontal="center" vertical="center"/>
    </xf>
    <xf numFmtId="49" fontId="2" fillId="0" borderId="2" xfId="2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165" fontId="9" fillId="0" borderId="2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165" fontId="9" fillId="0" borderId="3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textRotation="90" wrapText="1"/>
    </xf>
    <xf numFmtId="0" fontId="2" fillId="0" borderId="12" xfId="0" applyFont="1" applyFill="1" applyBorder="1" applyAlignment="1">
      <alignment horizontal="center" vertical="center" textRotation="90" wrapText="1"/>
    </xf>
    <xf numFmtId="0" fontId="2" fillId="0" borderId="2" xfId="1" applyFont="1" applyFill="1" applyBorder="1" applyAlignment="1">
      <alignment horizontal="left" vertical="center" wrapText="1"/>
    </xf>
    <xf numFmtId="0" fontId="2" fillId="0" borderId="3" xfId="1" applyFont="1" applyFill="1" applyBorder="1" applyAlignment="1">
      <alignment horizontal="left" vertical="center" wrapText="1"/>
    </xf>
    <xf numFmtId="0" fontId="2" fillId="0" borderId="15" xfId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wrapText="1"/>
    </xf>
    <xf numFmtId="0" fontId="2" fillId="0" borderId="2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wrapText="1"/>
    </xf>
    <xf numFmtId="0" fontId="2" fillId="0" borderId="12" xfId="1" applyFont="1" applyFill="1" applyBorder="1" applyAlignment="1">
      <alignment horizontal="center" vertical="center" wrapText="1"/>
    </xf>
    <xf numFmtId="0" fontId="2" fillId="0" borderId="14" xfId="1" applyFont="1" applyFill="1" applyBorder="1" applyAlignment="1">
      <alignment horizontal="center" vertical="center" wrapText="1"/>
    </xf>
    <xf numFmtId="0" fontId="4" fillId="0" borderId="0" xfId="1" applyFont="1" applyFill="1" applyAlignment="1">
      <alignment horizontal="center" vertical="center"/>
    </xf>
    <xf numFmtId="0" fontId="4" fillId="0" borderId="0" xfId="1" applyFont="1" applyFill="1" applyAlignment="1">
      <alignment horizontal="center"/>
    </xf>
    <xf numFmtId="0" fontId="2" fillId="0" borderId="9" xfId="1" applyFont="1" applyFill="1" applyBorder="1" applyAlignment="1">
      <alignment horizontal="center" vertical="center" textRotation="90" wrapText="1"/>
    </xf>
    <xf numFmtId="0" fontId="2" fillId="0" borderId="2" xfId="1" applyFont="1" applyFill="1" applyBorder="1" applyAlignment="1">
      <alignment horizontal="center" vertical="center" textRotation="90" wrapText="1"/>
    </xf>
    <xf numFmtId="164" fontId="2" fillId="0" borderId="0" xfId="1" applyNumberFormat="1" applyFont="1" applyFill="1"/>
    <xf numFmtId="166" fontId="2" fillId="0" borderId="0" xfId="1" applyNumberFormat="1" applyFont="1" applyFill="1"/>
    <xf numFmtId="167" fontId="2" fillId="0" borderId="0" xfId="1" applyNumberFormat="1" applyFont="1" applyFill="1"/>
    <xf numFmtId="0" fontId="0" fillId="0" borderId="21" xfId="0" applyBorder="1" applyAlignment="1">
      <alignment wrapText="1"/>
    </xf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2" fillId="0" borderId="2" xfId="1" applyFont="1" applyFill="1" applyBorder="1" applyAlignment="1">
      <alignment horizontal="center" vertical="center" wrapText="1"/>
    </xf>
    <xf numFmtId="0" fontId="3" fillId="0" borderId="0" xfId="1" applyFont="1" applyFill="1" applyAlignment="1">
      <alignment horizontal="center"/>
    </xf>
    <xf numFmtId="0" fontId="2" fillId="0" borderId="0" xfId="1" applyFont="1" applyFill="1" applyAlignment="1">
      <alignment horizontal="center"/>
    </xf>
    <xf numFmtId="0" fontId="2" fillId="0" borderId="7" xfId="1" applyFont="1" applyFill="1" applyBorder="1" applyAlignment="1">
      <alignment horizontal="center" vertical="center" wrapText="1"/>
    </xf>
    <xf numFmtId="0" fontId="2" fillId="0" borderId="8" xfId="1" applyFont="1" applyFill="1" applyBorder="1" applyAlignment="1">
      <alignment horizontal="center" vertical="center" wrapText="1"/>
    </xf>
    <xf numFmtId="0" fontId="2" fillId="0" borderId="9" xfId="1" applyFont="1" applyFill="1" applyBorder="1" applyAlignment="1">
      <alignment horizontal="center" vertical="center" wrapText="1"/>
    </xf>
    <xf numFmtId="0" fontId="2" fillId="0" borderId="16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wrapText="1"/>
    </xf>
    <xf numFmtId="0" fontId="2" fillId="0" borderId="12" xfId="1" applyFont="1" applyFill="1" applyBorder="1" applyAlignment="1">
      <alignment horizontal="center" vertical="center" wrapText="1"/>
    </xf>
    <xf numFmtId="0" fontId="2" fillId="0" borderId="14" xfId="1" applyFont="1" applyFill="1" applyBorder="1" applyAlignment="1">
      <alignment horizontal="center" vertical="center" wrapText="1"/>
    </xf>
    <xf numFmtId="0" fontId="4" fillId="0" borderId="0" xfId="1" applyFont="1" applyFill="1" applyAlignment="1">
      <alignment horizontal="center" vertical="center"/>
    </xf>
    <xf numFmtId="0" fontId="7" fillId="0" borderId="0" xfId="2" applyFont="1" applyFill="1" applyAlignment="1">
      <alignment horizontal="center" vertical="center"/>
    </xf>
    <xf numFmtId="0" fontId="2" fillId="0" borderId="0" xfId="2" applyFont="1" applyFill="1" applyAlignment="1">
      <alignment horizontal="center" vertical="top"/>
    </xf>
    <xf numFmtId="0" fontId="4" fillId="0" borderId="0" xfId="1" applyFont="1" applyFill="1" applyAlignment="1">
      <alignment horizont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center" wrapText="1"/>
    </xf>
    <xf numFmtId="0" fontId="2" fillId="0" borderId="5" xfId="1" applyFont="1" applyFill="1" applyBorder="1" applyAlignment="1">
      <alignment horizontal="center" vertical="center" wrapText="1"/>
    </xf>
    <xf numFmtId="0" fontId="2" fillId="0" borderId="6" xfId="1" applyFont="1" applyFill="1" applyBorder="1" applyAlignment="1">
      <alignment horizontal="center" vertical="center" wrapText="1"/>
    </xf>
    <xf numFmtId="0" fontId="2" fillId="0" borderId="13" xfId="1" applyFont="1" applyFill="1" applyBorder="1" applyAlignment="1">
      <alignment horizontal="center" vertical="center" wrapText="1"/>
    </xf>
    <xf numFmtId="0" fontId="2" fillId="0" borderId="10" xfId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2" fillId="0" borderId="11" xfId="1" applyFont="1" applyFill="1" applyBorder="1" applyAlignment="1">
      <alignment horizontal="center" vertical="center" wrapText="1"/>
    </xf>
    <xf numFmtId="0" fontId="0" fillId="0" borderId="20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20" xfId="0" applyBorder="1" applyAlignment="1">
      <alignment wrapText="1"/>
    </xf>
    <xf numFmtId="0" fontId="0" fillId="0" borderId="0" xfId="0" applyBorder="1" applyAlignment="1">
      <alignment wrapText="1"/>
    </xf>
    <xf numFmtId="0" fontId="10" fillId="0" borderId="17" xfId="0" applyFont="1" applyBorder="1" applyAlignment="1">
      <alignment horizontal="center" wrapText="1"/>
    </xf>
    <xf numFmtId="0" fontId="10" fillId="0" borderId="18" xfId="0" applyFont="1" applyBorder="1" applyAlignment="1">
      <alignment horizontal="center" wrapText="1"/>
    </xf>
    <xf numFmtId="0" fontId="10" fillId="0" borderId="19" xfId="0" applyFont="1" applyBorder="1" applyAlignment="1">
      <alignment horizontal="center" wrapText="1"/>
    </xf>
    <xf numFmtId="0" fontId="0" fillId="0" borderId="20" xfId="0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21" xfId="0" applyBorder="1" applyAlignment="1">
      <alignment wrapText="1"/>
    </xf>
    <xf numFmtId="0" fontId="10" fillId="0" borderId="20" xfId="0" applyFont="1" applyBorder="1" applyAlignment="1">
      <alignment vertical="top" wrapText="1"/>
    </xf>
    <xf numFmtId="0" fontId="10" fillId="0" borderId="0" xfId="0" applyFont="1" applyBorder="1" applyAlignment="1">
      <alignment vertical="top" wrapText="1"/>
    </xf>
    <xf numFmtId="0" fontId="10" fillId="0" borderId="21" xfId="0" applyFont="1" applyBorder="1" applyAlignment="1">
      <alignment vertical="top" wrapText="1"/>
    </xf>
  </cellXfs>
  <cellStyles count="3">
    <cellStyle name="Обычный" xfId="0" builtinId="0"/>
    <cellStyle name="Обычный 3" xfId="1" xr:uid="{00000000-0005-0000-0000-000001000000}"/>
    <cellStyle name="Обычный 7" xfId="2" xr:uid="{00000000-0005-0000-0000-000002000000}"/>
  </cellStyles>
  <dxfs count="0"/>
  <tableStyles count="0" defaultTableStyle="TableStyleMedium2" defaultPivotStyle="PivotStyleMedium9"/>
  <colors>
    <mruColors>
      <color rgb="FFCCFFFF"/>
      <color rgb="FFFFCC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file:///C:\Users\IE510~1.KIR\AppData\Local\Temp\logo.pn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381000</xdr:colOff>
      <xdr:row>3</xdr:row>
      <xdr:rowOff>0</xdr:rowOff>
    </xdr:to>
    <xdr:pic>
      <xdr:nvPicPr>
        <xdr:cNvPr id="2" name="Picture 1" descr="logo.png">
          <a:extLst>
            <a:ext uri="{FF2B5EF4-FFF2-40B4-BE49-F238E27FC236}">
              <a16:creationId xmlns:a16="http://schemas.microsoft.com/office/drawing/2014/main" id="{F99D552F-9923-4702-B5FF-97B7ED8707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0"/>
          <a:ext cx="381000" cy="381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E123"/>
  <sheetViews>
    <sheetView tabSelected="1" view="pageBreakPreview" zoomScale="60" zoomScaleNormal="100" workbookViewId="0">
      <pane xSplit="2" ySplit="14" topLeftCell="CK15" activePane="bottomRight" state="frozen"/>
      <selection activeCell="A21" sqref="A21"/>
      <selection pane="topRight" activeCell="C21" sqref="C21"/>
      <selection pane="bottomLeft" activeCell="A26" sqref="A26"/>
      <selection pane="bottomRight" activeCell="CN13" sqref="CN13"/>
    </sheetView>
  </sheetViews>
  <sheetFormatPr defaultRowHeight="15.75" x14ac:dyDescent="0.25"/>
  <cols>
    <col min="1" max="1" width="9.42578125" style="1" customWidth="1"/>
    <col min="2" max="2" width="45.5703125" style="1" customWidth="1"/>
    <col min="3" max="3" width="15.85546875" style="1" customWidth="1"/>
    <col min="4" max="4" width="10.7109375" style="1" customWidth="1"/>
    <col min="5" max="5" width="10.42578125" style="1" customWidth="1"/>
    <col min="6" max="6" width="18" style="1" customWidth="1"/>
    <col min="7" max="7" width="16.85546875" style="1" customWidth="1"/>
    <col min="8" max="8" width="12.7109375" style="1" customWidth="1"/>
    <col min="9" max="9" width="22" style="1" customWidth="1"/>
    <col min="10" max="11" width="12.28515625" style="1" customWidth="1"/>
    <col min="12" max="12" width="16.28515625" style="1" customWidth="1"/>
    <col min="13" max="13" width="12.28515625" style="1" customWidth="1"/>
    <col min="14" max="14" width="10.28515625" style="1" customWidth="1"/>
    <col min="15" max="15" width="11.85546875" style="1" customWidth="1"/>
    <col min="16" max="16" width="12.7109375" style="1" customWidth="1"/>
    <col min="17" max="19" width="11.85546875" style="1" customWidth="1"/>
    <col min="20" max="20" width="14.7109375" style="1" customWidth="1"/>
    <col min="21" max="21" width="16.42578125" style="1" customWidth="1"/>
    <col min="22" max="22" width="14.7109375" style="1" customWidth="1"/>
    <col min="23" max="23" width="17" style="1" customWidth="1"/>
    <col min="24" max="24" width="16.5703125" style="1" customWidth="1"/>
    <col min="25" max="30" width="10.85546875" style="1" customWidth="1"/>
    <col min="31" max="31" width="14.42578125" style="1" customWidth="1"/>
    <col min="32" max="32" width="10.85546875" style="1" customWidth="1"/>
    <col min="33" max="33" width="14.140625" style="1" customWidth="1"/>
    <col min="34" max="34" width="10.85546875" style="1" customWidth="1"/>
    <col min="35" max="35" width="13" style="1" customWidth="1"/>
    <col min="36" max="36" width="10.85546875" style="1" customWidth="1"/>
    <col min="37" max="37" width="18.7109375" style="1" customWidth="1"/>
    <col min="38" max="38" width="16.85546875" style="1" customWidth="1"/>
    <col min="39" max="39" width="10.85546875" style="1" customWidth="1"/>
    <col min="40" max="40" width="13.42578125" style="1" customWidth="1"/>
    <col min="41" max="41" width="13" style="1" customWidth="1"/>
    <col min="42" max="42" width="15.85546875" style="1" customWidth="1"/>
    <col min="43" max="43" width="22.7109375" style="1" customWidth="1"/>
    <col min="44" max="44" width="10.7109375" style="1" customWidth="1"/>
    <col min="45" max="45" width="13.28515625" style="1" customWidth="1"/>
    <col min="46" max="46" width="10.140625" style="1" customWidth="1"/>
    <col min="47" max="47" width="17.5703125" style="1" customWidth="1"/>
    <col min="48" max="48" width="22.140625" style="1" customWidth="1"/>
    <col min="49" max="49" width="11.140625" style="1" customWidth="1"/>
    <col min="50" max="50" width="18.28515625" style="1" customWidth="1"/>
    <col min="51" max="51" width="11.42578125" style="1" customWidth="1"/>
    <col min="52" max="52" width="18" style="1" customWidth="1"/>
    <col min="53" max="53" width="17" style="1" customWidth="1"/>
    <col min="54" max="54" width="9.7109375" style="1" customWidth="1"/>
    <col min="55" max="55" width="12.140625" style="1" customWidth="1"/>
    <col min="56" max="56" width="11.85546875" style="1" customWidth="1"/>
    <col min="57" max="57" width="15" style="1" customWidth="1"/>
    <col min="58" max="58" width="16.7109375" style="1" customWidth="1"/>
    <col min="59" max="59" width="12.28515625" style="1" customWidth="1"/>
    <col min="60" max="60" width="12.7109375" style="1" customWidth="1"/>
    <col min="61" max="61" width="12.42578125" style="1" customWidth="1"/>
    <col min="62" max="62" width="14.85546875" style="1" customWidth="1"/>
    <col min="63" max="63" width="17.140625" style="1" customWidth="1"/>
    <col min="64" max="64" width="11.7109375" style="1" customWidth="1"/>
    <col min="65" max="65" width="12.7109375" style="1" customWidth="1"/>
    <col min="66" max="66" width="12.28515625" style="1" customWidth="1"/>
    <col min="67" max="67" width="14.42578125" style="1" customWidth="1"/>
    <col min="68" max="68" width="20.140625" style="1" customWidth="1"/>
    <col min="69" max="69" width="15" style="1" customWidth="1"/>
    <col min="70" max="70" width="13.7109375" style="1" customWidth="1"/>
    <col min="71" max="71" width="11.85546875" style="1" customWidth="1"/>
    <col min="72" max="72" width="13.7109375" style="1" customWidth="1"/>
    <col min="73" max="73" width="18.28515625" style="1" customWidth="1"/>
    <col min="74" max="74" width="12.140625" style="1" customWidth="1"/>
    <col min="75" max="75" width="13.85546875" style="1" customWidth="1"/>
    <col min="76" max="76" width="11.85546875" style="1" customWidth="1"/>
    <col min="77" max="77" width="14" style="1" customWidth="1"/>
    <col min="78" max="78" width="12.28515625" style="1" customWidth="1"/>
    <col min="79" max="79" width="14.5703125" style="1" customWidth="1"/>
    <col min="80" max="80" width="12.85546875" style="1" customWidth="1"/>
    <col min="81" max="81" width="15" style="1" customWidth="1"/>
    <col min="82" max="82" width="15.140625" style="1" customWidth="1"/>
    <col min="83" max="83" width="16.5703125" style="1" customWidth="1"/>
    <col min="84" max="84" width="13.42578125" style="1" customWidth="1"/>
    <col min="85" max="85" width="13.140625" style="1" customWidth="1"/>
    <col min="86" max="86" width="12.85546875" style="1" customWidth="1"/>
    <col min="87" max="87" width="14.42578125" style="1" customWidth="1"/>
    <col min="88" max="88" width="12.7109375" style="1" customWidth="1"/>
    <col min="89" max="89" width="13.28515625" style="1" customWidth="1"/>
    <col min="90" max="90" width="11.85546875" style="1" customWidth="1"/>
    <col min="91" max="91" width="14.85546875" style="1" customWidth="1"/>
    <col min="92" max="92" width="10.85546875" style="1" customWidth="1"/>
    <col min="93" max="93" width="12.85546875" style="1" customWidth="1"/>
    <col min="94" max="94" width="8.42578125" style="1" customWidth="1"/>
    <col min="95" max="95" width="12.28515625" style="1" customWidth="1"/>
    <col min="96" max="96" width="11" style="1" customWidth="1"/>
    <col min="97" max="97" width="12.28515625" style="1" customWidth="1"/>
    <col min="98" max="98" width="13" style="1" customWidth="1"/>
    <col min="99" max="99" width="11" style="1" customWidth="1"/>
    <col min="100" max="100" width="36.85546875" style="1" customWidth="1"/>
    <col min="101" max="16384" width="9.140625" style="1"/>
  </cols>
  <sheetData>
    <row r="1" spans="1:109" ht="18.75" x14ac:dyDescent="0.25">
      <c r="A1" s="60" t="s">
        <v>187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  <c r="AC1" s="60"/>
      <c r="AD1" s="60"/>
      <c r="AE1" s="60"/>
      <c r="AF1" s="60"/>
      <c r="AG1" s="60"/>
      <c r="AH1" s="60"/>
      <c r="AI1" s="60"/>
      <c r="AJ1" s="60"/>
      <c r="AK1" s="60"/>
      <c r="AL1" s="60"/>
      <c r="AM1" s="60"/>
      <c r="AN1" s="60"/>
      <c r="AO1" s="60"/>
      <c r="AP1" s="60"/>
      <c r="AQ1" s="60"/>
      <c r="AR1" s="60"/>
      <c r="AS1" s="60"/>
      <c r="AT1" s="60"/>
      <c r="AU1" s="60"/>
      <c r="AV1" s="60"/>
      <c r="AW1" s="60"/>
      <c r="AX1" s="60"/>
      <c r="AY1" s="60"/>
      <c r="AZ1" s="60"/>
      <c r="BA1" s="60"/>
      <c r="BB1" s="60"/>
      <c r="BC1" s="60"/>
      <c r="BD1" s="60"/>
      <c r="BE1" s="60"/>
      <c r="BF1" s="60"/>
      <c r="BG1" s="60"/>
      <c r="BH1" s="60"/>
      <c r="BI1" s="60"/>
      <c r="BJ1" s="60"/>
      <c r="BK1" s="60"/>
      <c r="BL1" s="60"/>
      <c r="BM1" s="60"/>
      <c r="BN1" s="60"/>
      <c r="BO1" s="60"/>
      <c r="BP1" s="60"/>
      <c r="BQ1" s="60"/>
      <c r="BR1" s="60"/>
    </row>
    <row r="2" spans="1:109" ht="18.75" x14ac:dyDescent="0.3">
      <c r="A2" s="63"/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/>
      <c r="AI2" s="63"/>
      <c r="AJ2" s="63"/>
      <c r="AK2" s="63"/>
      <c r="AL2" s="63"/>
      <c r="AM2" s="63"/>
      <c r="AN2" s="63"/>
      <c r="AO2" s="63"/>
      <c r="AP2" s="63"/>
      <c r="AQ2" s="63"/>
      <c r="AR2" s="63"/>
      <c r="AS2" s="63"/>
      <c r="AT2" s="63"/>
      <c r="AU2" s="63"/>
      <c r="AV2" s="63"/>
      <c r="AW2" s="63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  <c r="BL2" s="40"/>
      <c r="BM2" s="40"/>
      <c r="BN2" s="40"/>
      <c r="BO2" s="40"/>
      <c r="BP2" s="40"/>
      <c r="BQ2" s="40"/>
      <c r="BR2" s="40"/>
      <c r="BS2" s="40"/>
      <c r="BT2" s="40"/>
      <c r="BU2" s="40"/>
      <c r="BV2" s="40"/>
      <c r="BW2" s="40"/>
      <c r="BX2" s="40"/>
      <c r="BY2" s="40"/>
      <c r="BZ2" s="40"/>
      <c r="CA2" s="40"/>
      <c r="CB2" s="40"/>
      <c r="CC2" s="40"/>
      <c r="CD2" s="40"/>
      <c r="CE2" s="40"/>
      <c r="CF2" s="40"/>
      <c r="CG2" s="40"/>
      <c r="CH2" s="40"/>
      <c r="CI2" s="40"/>
      <c r="CJ2" s="40"/>
      <c r="CK2" s="40"/>
      <c r="CL2" s="40"/>
      <c r="CM2" s="40"/>
      <c r="CN2" s="40"/>
      <c r="CO2" s="40"/>
      <c r="CP2" s="40"/>
      <c r="CQ2" s="40"/>
      <c r="CR2" s="40"/>
      <c r="CS2" s="40"/>
      <c r="CT2" s="40"/>
      <c r="CU2" s="40"/>
      <c r="CV2" s="40"/>
    </row>
    <row r="3" spans="1:109" ht="18.75" x14ac:dyDescent="0.25">
      <c r="A3" s="61" t="s">
        <v>0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  <c r="AA3" s="61"/>
      <c r="AB3" s="61"/>
      <c r="AC3" s="61"/>
      <c r="AD3" s="61"/>
      <c r="AE3" s="61"/>
      <c r="AF3" s="61"/>
      <c r="AG3" s="61"/>
      <c r="AH3" s="61"/>
      <c r="AI3" s="61"/>
      <c r="AJ3" s="61"/>
      <c r="AK3" s="61"/>
      <c r="AL3" s="61"/>
      <c r="AM3" s="61"/>
      <c r="AN3" s="61"/>
      <c r="AO3" s="61"/>
      <c r="AP3" s="61"/>
      <c r="AQ3" s="61"/>
      <c r="AR3" s="61"/>
      <c r="AS3" s="61"/>
      <c r="AT3" s="61"/>
      <c r="AU3" s="61"/>
      <c r="AV3" s="61"/>
      <c r="AW3" s="61"/>
      <c r="AX3" s="61"/>
      <c r="AY3" s="61"/>
      <c r="AZ3" s="61"/>
      <c r="BA3" s="61"/>
      <c r="BB3" s="61"/>
      <c r="BC3" s="61"/>
      <c r="BD3" s="61"/>
      <c r="BE3" s="61"/>
      <c r="BF3" s="61"/>
      <c r="BG3" s="61"/>
      <c r="BH3" s="61"/>
      <c r="BI3" s="61"/>
      <c r="BJ3" s="61"/>
      <c r="BK3" s="61"/>
      <c r="BL3" s="61"/>
      <c r="BM3" s="61"/>
      <c r="BN3" s="61"/>
      <c r="BO3" s="61"/>
      <c r="BP3" s="61"/>
      <c r="BQ3" s="61"/>
      <c r="BR3" s="61"/>
      <c r="BS3" s="9"/>
      <c r="BT3" s="9"/>
      <c r="BU3" s="9"/>
      <c r="BV3" s="9"/>
      <c r="BW3" s="9"/>
      <c r="BX3" s="9"/>
      <c r="BY3" s="9"/>
      <c r="BZ3" s="9"/>
      <c r="CA3" s="9"/>
      <c r="CB3" s="9"/>
      <c r="CC3" s="9"/>
      <c r="CD3" s="9"/>
      <c r="CE3" s="9"/>
      <c r="CF3" s="9"/>
      <c r="CG3" s="9"/>
      <c r="CH3" s="9"/>
      <c r="CI3" s="9"/>
      <c r="CJ3" s="9"/>
      <c r="CK3" s="9"/>
      <c r="CL3" s="9"/>
      <c r="CM3" s="9"/>
      <c r="CN3" s="9"/>
      <c r="CO3" s="9"/>
      <c r="CP3" s="9"/>
      <c r="CQ3" s="9"/>
      <c r="CR3" s="9"/>
      <c r="CS3" s="9"/>
      <c r="CT3" s="9"/>
      <c r="CU3" s="9"/>
      <c r="CV3" s="9"/>
    </row>
    <row r="4" spans="1:109" x14ac:dyDescent="0.25">
      <c r="A4" s="62" t="s">
        <v>1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62"/>
      <c r="Z4" s="62"/>
      <c r="AA4" s="62"/>
      <c r="AB4" s="62"/>
      <c r="AC4" s="62"/>
      <c r="AD4" s="62"/>
      <c r="AE4" s="62"/>
      <c r="AF4" s="62"/>
      <c r="AG4" s="62"/>
      <c r="AH4" s="62"/>
      <c r="AI4" s="62"/>
      <c r="AJ4" s="62"/>
      <c r="AK4" s="62"/>
      <c r="AL4" s="62"/>
      <c r="AM4" s="62"/>
      <c r="AN4" s="62"/>
      <c r="AO4" s="62"/>
      <c r="AP4" s="62"/>
      <c r="AQ4" s="62"/>
      <c r="AR4" s="62"/>
      <c r="AS4" s="62"/>
      <c r="AT4" s="62"/>
      <c r="AU4" s="62"/>
      <c r="AV4" s="62"/>
      <c r="AW4" s="62"/>
      <c r="AX4" s="62"/>
      <c r="AY4" s="62"/>
      <c r="AZ4" s="62"/>
      <c r="BA4" s="62"/>
      <c r="BB4" s="62"/>
      <c r="BC4" s="62"/>
      <c r="BD4" s="62"/>
      <c r="BE4" s="62"/>
      <c r="BF4" s="62"/>
      <c r="BG4" s="62"/>
      <c r="BH4" s="62"/>
      <c r="BI4" s="62"/>
      <c r="BJ4" s="62"/>
      <c r="BK4" s="62"/>
      <c r="BL4" s="62"/>
      <c r="BM4" s="62"/>
      <c r="BN4" s="62"/>
      <c r="BO4" s="62"/>
      <c r="BP4" s="62"/>
      <c r="BQ4" s="62"/>
      <c r="BR4" s="62"/>
      <c r="BS4" s="10"/>
      <c r="BT4" s="10"/>
      <c r="BU4" s="10"/>
      <c r="BV4" s="10"/>
      <c r="BW4" s="10"/>
      <c r="BX4" s="10"/>
      <c r="BY4" s="10"/>
      <c r="BZ4" s="10"/>
      <c r="CA4" s="10"/>
      <c r="CB4" s="10"/>
      <c r="CC4" s="10"/>
      <c r="CD4" s="10"/>
      <c r="CE4" s="10"/>
      <c r="CF4" s="10"/>
      <c r="CG4" s="10"/>
      <c r="CH4" s="10"/>
      <c r="CI4" s="10"/>
      <c r="CJ4" s="10"/>
      <c r="CK4" s="10"/>
      <c r="CL4" s="10"/>
      <c r="CM4" s="10"/>
      <c r="CN4" s="10"/>
      <c r="CO4" s="10"/>
      <c r="CP4" s="10"/>
      <c r="CQ4" s="10"/>
      <c r="CR4" s="10"/>
      <c r="CS4" s="10"/>
      <c r="CT4" s="10"/>
      <c r="CU4" s="10"/>
      <c r="CV4" s="10"/>
    </row>
    <row r="5" spans="1:109" ht="18.75" x14ac:dyDescent="0.3">
      <c r="A5" s="52" t="s">
        <v>186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  <c r="AB5" s="52"/>
      <c r="AC5" s="52"/>
      <c r="AD5" s="52"/>
      <c r="AE5" s="52"/>
      <c r="AF5" s="52"/>
      <c r="AG5" s="52"/>
      <c r="AH5" s="52"/>
      <c r="AI5" s="52"/>
      <c r="AJ5" s="52"/>
      <c r="AK5" s="52"/>
      <c r="AL5" s="52"/>
      <c r="AM5" s="52"/>
      <c r="AN5" s="52"/>
      <c r="AO5" s="52"/>
      <c r="AP5" s="52"/>
      <c r="AQ5" s="52"/>
      <c r="AR5" s="52"/>
      <c r="AS5" s="52"/>
      <c r="AT5" s="52"/>
      <c r="AU5" s="52"/>
      <c r="AV5" s="52"/>
      <c r="AW5" s="52"/>
      <c r="CV5" s="6"/>
    </row>
    <row r="6" spans="1:109" ht="18.75" x14ac:dyDescent="0.3">
      <c r="A6" s="51"/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  <c r="Z6" s="51"/>
      <c r="AA6" s="51"/>
      <c r="AB6" s="51"/>
      <c r="AC6" s="51"/>
      <c r="AD6" s="51"/>
      <c r="AE6" s="51"/>
      <c r="AF6" s="51"/>
      <c r="AG6" s="51"/>
      <c r="AH6" s="51"/>
      <c r="AI6" s="51"/>
      <c r="AJ6" s="51"/>
      <c r="AK6" s="51"/>
      <c r="AL6" s="51"/>
      <c r="AM6" s="51"/>
      <c r="AN6" s="51"/>
      <c r="AO6" s="51"/>
      <c r="AP6" s="51"/>
      <c r="AQ6" s="51"/>
      <c r="AR6" s="51"/>
      <c r="AS6" s="51"/>
      <c r="AT6" s="51"/>
      <c r="AU6" s="51"/>
      <c r="AV6" s="51"/>
      <c r="AW6" s="51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</row>
    <row r="7" spans="1:109" ht="18.75" x14ac:dyDescent="0.25">
      <c r="A7" s="60"/>
      <c r="B7" s="60"/>
      <c r="C7" s="60"/>
      <c r="D7" s="60"/>
      <c r="E7" s="60"/>
      <c r="F7" s="60"/>
      <c r="G7" s="60"/>
      <c r="H7" s="60"/>
      <c r="I7" s="60"/>
      <c r="J7" s="60"/>
      <c r="K7" s="60"/>
      <c r="L7" s="60"/>
      <c r="M7" s="60"/>
      <c r="N7" s="60"/>
      <c r="O7" s="60"/>
      <c r="P7" s="60"/>
      <c r="Q7" s="60"/>
      <c r="R7" s="60"/>
      <c r="S7" s="60"/>
      <c r="T7" s="60"/>
      <c r="U7" s="60"/>
      <c r="V7" s="60"/>
      <c r="W7" s="60"/>
      <c r="X7" s="60"/>
      <c r="Y7" s="60"/>
      <c r="Z7" s="60"/>
      <c r="AA7" s="60"/>
      <c r="AB7" s="60"/>
      <c r="AC7" s="60"/>
      <c r="AD7" s="60"/>
      <c r="AE7" s="60"/>
      <c r="AF7" s="60"/>
      <c r="AG7" s="60"/>
      <c r="AH7" s="60"/>
      <c r="AI7" s="60"/>
      <c r="AJ7" s="60"/>
      <c r="AK7" s="60"/>
      <c r="AL7" s="60"/>
      <c r="AM7" s="60"/>
      <c r="AN7" s="60"/>
      <c r="AO7" s="60"/>
      <c r="AP7" s="60"/>
      <c r="AQ7" s="60"/>
      <c r="AR7" s="60"/>
      <c r="AS7" s="60"/>
      <c r="AT7" s="60"/>
      <c r="AU7" s="60"/>
      <c r="AV7" s="60"/>
      <c r="AW7" s="60"/>
      <c r="AX7" s="39"/>
      <c r="AY7" s="39"/>
      <c r="AZ7" s="39"/>
      <c r="BA7" s="39"/>
      <c r="BB7" s="39"/>
      <c r="BC7" s="39"/>
      <c r="BD7" s="39"/>
      <c r="BE7" s="39"/>
      <c r="BF7" s="39"/>
      <c r="BG7" s="39"/>
      <c r="BH7" s="39"/>
      <c r="BI7" s="39"/>
      <c r="BJ7" s="39"/>
      <c r="BK7" s="39"/>
      <c r="BL7" s="39"/>
      <c r="BM7" s="39"/>
      <c r="BN7" s="39"/>
      <c r="BO7" s="39"/>
      <c r="BP7" s="39"/>
      <c r="BQ7" s="39"/>
      <c r="BR7" s="39"/>
      <c r="BS7" s="39"/>
      <c r="BT7" s="39"/>
      <c r="BU7" s="39"/>
      <c r="BV7" s="39"/>
      <c r="BW7" s="39"/>
      <c r="BX7" s="39"/>
      <c r="BY7" s="39"/>
      <c r="BZ7" s="39"/>
      <c r="CA7" s="39"/>
      <c r="CB7" s="39"/>
      <c r="CC7" s="39"/>
      <c r="CD7" s="39"/>
      <c r="CE7" s="39"/>
      <c r="CF7" s="39"/>
      <c r="CG7" s="39"/>
      <c r="CH7" s="39"/>
      <c r="CI7" s="39"/>
      <c r="CJ7" s="39"/>
      <c r="CK7" s="39"/>
      <c r="CL7" s="39"/>
      <c r="CM7" s="39"/>
      <c r="CN7" s="39"/>
      <c r="CO7" s="39"/>
      <c r="CP7" s="39"/>
      <c r="CQ7" s="39"/>
      <c r="CR7" s="39"/>
      <c r="CS7" s="39"/>
      <c r="CT7" s="39"/>
      <c r="CU7" s="39"/>
      <c r="CV7" s="39"/>
    </row>
    <row r="8" spans="1:109" ht="24.75" customHeight="1" x14ac:dyDescent="0.3">
      <c r="A8" s="51" t="s">
        <v>328</v>
      </c>
      <c r="B8" s="51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  <c r="W8" s="51"/>
      <c r="X8" s="51"/>
      <c r="Y8" s="51"/>
      <c r="Z8" s="51"/>
      <c r="AA8" s="51"/>
      <c r="AB8" s="51"/>
      <c r="AC8" s="51"/>
      <c r="AD8" s="51"/>
      <c r="AE8" s="51"/>
      <c r="AF8" s="51"/>
      <c r="AG8" s="51"/>
      <c r="AH8" s="51"/>
      <c r="AI8" s="51"/>
      <c r="AJ8" s="51"/>
      <c r="AK8" s="51"/>
      <c r="AL8" s="51"/>
      <c r="AM8" s="51"/>
      <c r="AN8" s="51"/>
      <c r="AO8" s="51"/>
      <c r="AP8" s="51"/>
      <c r="AQ8" s="51"/>
      <c r="AR8" s="51"/>
      <c r="AS8" s="51"/>
      <c r="AT8" s="51"/>
      <c r="AU8" s="51"/>
      <c r="AV8" s="51"/>
      <c r="AW8" s="51"/>
      <c r="AX8" s="51"/>
      <c r="AY8" s="51"/>
      <c r="AZ8" s="51"/>
      <c r="BA8" s="51"/>
      <c r="BB8" s="51"/>
      <c r="BC8" s="51"/>
      <c r="BD8" s="51"/>
      <c r="BE8" s="51"/>
      <c r="BF8" s="51"/>
      <c r="BG8" s="51"/>
      <c r="BH8" s="51"/>
      <c r="BI8" s="51"/>
      <c r="BJ8" s="51"/>
      <c r="BK8" s="51"/>
      <c r="BL8" s="51"/>
      <c r="BM8" s="51"/>
      <c r="BN8" s="51"/>
      <c r="BO8" s="51"/>
      <c r="BP8" s="51"/>
      <c r="BQ8" s="51"/>
      <c r="BR8" s="51"/>
      <c r="BS8" s="51"/>
      <c r="BT8" s="51"/>
      <c r="BU8" s="51"/>
      <c r="BV8" s="51"/>
      <c r="BW8" s="51"/>
      <c r="BX8" s="51"/>
      <c r="BY8" s="51"/>
      <c r="BZ8" s="51"/>
      <c r="CA8" s="51"/>
      <c r="CB8" s="51"/>
      <c r="CC8" s="51"/>
      <c r="CD8" s="51"/>
      <c r="CE8" s="51"/>
      <c r="CF8" s="51"/>
      <c r="CG8" s="51"/>
      <c r="CH8" s="51"/>
      <c r="CI8" s="51"/>
      <c r="CJ8" s="51"/>
      <c r="CK8" s="51"/>
      <c r="CL8" s="51"/>
      <c r="CM8" s="51"/>
      <c r="CN8" s="51"/>
      <c r="CO8" s="51"/>
      <c r="CP8" s="51"/>
      <c r="CQ8" s="51"/>
      <c r="CR8" s="51"/>
      <c r="CS8" s="51"/>
      <c r="CT8" s="51"/>
      <c r="CU8" s="51"/>
      <c r="CV8" s="51"/>
      <c r="CW8" s="3"/>
      <c r="CX8" s="3"/>
      <c r="CY8" s="3"/>
      <c r="CZ8" s="3"/>
      <c r="DA8" s="3"/>
      <c r="DB8" s="3"/>
      <c r="DC8" s="3"/>
      <c r="DD8" s="3"/>
      <c r="DE8" s="3"/>
    </row>
    <row r="9" spans="1:109" ht="20.25" customHeight="1" x14ac:dyDescent="0.25">
      <c r="A9" s="52" t="s">
        <v>114</v>
      </c>
      <c r="B9" s="52"/>
      <c r="C9" s="52"/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  <c r="R9" s="52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  <c r="AL9" s="52"/>
      <c r="AM9" s="52"/>
      <c r="AN9" s="52"/>
      <c r="AO9" s="52"/>
      <c r="AP9" s="52"/>
      <c r="AQ9" s="52"/>
      <c r="AR9" s="52"/>
      <c r="AS9" s="52"/>
      <c r="AT9" s="52"/>
      <c r="AU9" s="52"/>
      <c r="AV9" s="52"/>
      <c r="AW9" s="52"/>
      <c r="AX9" s="52"/>
      <c r="AY9" s="52"/>
      <c r="AZ9" s="52"/>
      <c r="BA9" s="52"/>
      <c r="BB9" s="52"/>
      <c r="BC9" s="52"/>
      <c r="BD9" s="52"/>
      <c r="BE9" s="52"/>
      <c r="BF9" s="52"/>
      <c r="BG9" s="52"/>
      <c r="BH9" s="52"/>
      <c r="BI9" s="52"/>
      <c r="BJ9" s="52"/>
      <c r="BK9" s="52"/>
      <c r="BL9" s="52"/>
      <c r="BM9" s="52"/>
      <c r="BN9" s="52"/>
      <c r="BO9" s="52"/>
      <c r="BP9" s="52"/>
      <c r="BQ9" s="52"/>
      <c r="BR9" s="52"/>
      <c r="BS9" s="52"/>
      <c r="BT9" s="52"/>
      <c r="BU9" s="52"/>
      <c r="BV9" s="52"/>
      <c r="BW9" s="52"/>
      <c r="BX9" s="52"/>
      <c r="BY9" s="52"/>
      <c r="BZ9" s="52"/>
      <c r="CA9" s="52"/>
      <c r="CB9" s="52"/>
      <c r="CC9" s="52"/>
      <c r="CD9" s="52"/>
      <c r="CE9" s="52"/>
      <c r="CF9" s="52"/>
      <c r="CG9" s="52"/>
      <c r="CH9" s="52"/>
      <c r="CI9" s="52"/>
      <c r="CJ9" s="52"/>
      <c r="CK9" s="52"/>
      <c r="CL9" s="52"/>
      <c r="CM9" s="52"/>
      <c r="CN9" s="52"/>
      <c r="CO9" s="52"/>
      <c r="CP9" s="52"/>
      <c r="CQ9" s="52"/>
      <c r="CR9" s="52"/>
      <c r="CS9" s="52"/>
      <c r="CT9" s="52"/>
      <c r="CU9" s="52"/>
      <c r="CV9" s="52"/>
      <c r="CW9" s="4"/>
      <c r="CX9" s="4"/>
      <c r="CY9" s="4"/>
      <c r="CZ9" s="4"/>
      <c r="DA9" s="4"/>
      <c r="DB9" s="4"/>
      <c r="DC9" s="4"/>
      <c r="DD9" s="4"/>
      <c r="DE9" s="4"/>
    </row>
    <row r="10" spans="1:109" x14ac:dyDescent="0.25">
      <c r="O10" s="43"/>
      <c r="W10" s="43"/>
      <c r="X10" s="43"/>
      <c r="Y10" s="44"/>
      <c r="Z10" s="44"/>
      <c r="AA10" s="44"/>
      <c r="AB10" s="44"/>
      <c r="AC10" s="44"/>
      <c r="AD10" s="44"/>
      <c r="AG10" s="43"/>
      <c r="AH10" s="43"/>
      <c r="AI10" s="43"/>
      <c r="AJ10" s="43"/>
      <c r="AK10" s="43"/>
      <c r="AL10" s="43"/>
      <c r="AM10" s="43"/>
      <c r="AN10" s="43"/>
      <c r="AO10" s="43"/>
      <c r="AP10" s="43"/>
      <c r="AQ10" s="43"/>
      <c r="AR10" s="43"/>
      <c r="AS10" s="43"/>
      <c r="AT10" s="43"/>
      <c r="AU10" s="43"/>
      <c r="AV10" s="43"/>
      <c r="AW10" s="43"/>
      <c r="AX10" s="45"/>
      <c r="BC10" s="45"/>
      <c r="CU10" s="34"/>
      <c r="CV10" s="34"/>
      <c r="CW10" s="34"/>
      <c r="CX10" s="34"/>
      <c r="CY10" s="34"/>
      <c r="CZ10" s="34"/>
      <c r="DA10" s="34"/>
      <c r="DB10" s="34"/>
      <c r="DC10" s="34"/>
      <c r="DD10" s="34"/>
      <c r="DE10" s="34"/>
    </row>
    <row r="11" spans="1:109" ht="87" customHeight="1" x14ac:dyDescent="0.25">
      <c r="A11" s="50" t="s">
        <v>2</v>
      </c>
      <c r="B11" s="50" t="s">
        <v>3</v>
      </c>
      <c r="C11" s="50" t="s">
        <v>119</v>
      </c>
      <c r="D11" s="50" t="s">
        <v>4</v>
      </c>
      <c r="E11" s="50" t="s">
        <v>5</v>
      </c>
      <c r="F11" s="50" t="s">
        <v>115</v>
      </c>
      <c r="G11" s="50"/>
      <c r="H11" s="68" t="s">
        <v>6</v>
      </c>
      <c r="I11" s="69"/>
      <c r="J11" s="69"/>
      <c r="K11" s="69"/>
      <c r="L11" s="69"/>
      <c r="M11" s="70"/>
      <c r="N11" s="57" t="s">
        <v>7</v>
      </c>
      <c r="O11" s="57" t="s">
        <v>192</v>
      </c>
      <c r="P11" s="53" t="s">
        <v>8</v>
      </c>
      <c r="Q11" s="54"/>
      <c r="R11" s="54"/>
      <c r="S11" s="55"/>
      <c r="T11" s="68" t="s">
        <v>9</v>
      </c>
      <c r="U11" s="70"/>
      <c r="V11" s="68" t="s">
        <v>113</v>
      </c>
      <c r="W11" s="69"/>
      <c r="X11" s="69"/>
      <c r="Y11" s="64" t="s">
        <v>195</v>
      </c>
      <c r="Z11" s="64"/>
      <c r="AA11" s="64"/>
      <c r="AB11" s="64"/>
      <c r="AC11" s="64"/>
      <c r="AD11" s="68" t="s">
        <v>194</v>
      </c>
      <c r="AE11" s="69"/>
      <c r="AF11" s="69"/>
      <c r="AG11" s="69"/>
      <c r="AH11" s="69"/>
      <c r="AI11" s="69"/>
      <c r="AJ11" s="69"/>
      <c r="AK11" s="69"/>
      <c r="AL11" s="69"/>
      <c r="AM11" s="69"/>
      <c r="AN11" s="69"/>
      <c r="AO11" s="69"/>
      <c r="AP11" s="69"/>
      <c r="AQ11" s="69"/>
      <c r="AR11" s="69"/>
      <c r="AS11" s="69"/>
      <c r="AT11" s="69"/>
      <c r="AU11" s="69"/>
      <c r="AV11" s="69"/>
      <c r="AW11" s="69"/>
      <c r="AX11" s="69"/>
      <c r="AY11" s="69"/>
      <c r="AZ11" s="69"/>
      <c r="BA11" s="69"/>
      <c r="BB11" s="69"/>
      <c r="BC11" s="69"/>
      <c r="BD11" s="69"/>
      <c r="BE11" s="69"/>
      <c r="BF11" s="69"/>
      <c r="BG11" s="69"/>
      <c r="BH11" s="69"/>
      <c r="BI11" s="69"/>
      <c r="BJ11" s="69"/>
      <c r="BK11" s="69"/>
      <c r="BL11" s="69"/>
      <c r="BM11" s="69"/>
      <c r="BN11" s="69"/>
      <c r="BO11" s="69"/>
      <c r="BP11" s="69"/>
      <c r="BQ11" s="69"/>
      <c r="BR11" s="69"/>
      <c r="BS11" s="69"/>
      <c r="BT11" s="69"/>
      <c r="BU11" s="69"/>
      <c r="BV11" s="69"/>
      <c r="BW11" s="69"/>
      <c r="BX11" s="69"/>
      <c r="BY11" s="69"/>
      <c r="BZ11" s="69"/>
      <c r="CA11" s="69"/>
      <c r="CB11" s="69"/>
      <c r="CC11" s="69"/>
      <c r="CD11" s="69"/>
      <c r="CE11" s="69"/>
      <c r="CF11" s="69"/>
      <c r="CG11" s="69"/>
      <c r="CH11" s="69"/>
      <c r="CI11" s="69"/>
      <c r="CJ11" s="69"/>
      <c r="CK11" s="69"/>
      <c r="CL11" s="69"/>
      <c r="CM11" s="69"/>
      <c r="CN11" s="69"/>
      <c r="CO11" s="69"/>
      <c r="CP11" s="69"/>
      <c r="CQ11" s="69"/>
      <c r="CR11" s="69"/>
      <c r="CS11" s="69"/>
      <c r="CT11" s="69"/>
      <c r="CU11" s="70"/>
      <c r="CV11" s="57" t="s">
        <v>243</v>
      </c>
    </row>
    <row r="12" spans="1:109" ht="71.25" customHeight="1" x14ac:dyDescent="0.25">
      <c r="A12" s="50"/>
      <c r="B12" s="50"/>
      <c r="C12" s="50"/>
      <c r="D12" s="50"/>
      <c r="E12" s="50"/>
      <c r="F12" s="50"/>
      <c r="G12" s="50"/>
      <c r="H12" s="53" t="s">
        <v>268</v>
      </c>
      <c r="I12" s="54"/>
      <c r="J12" s="55"/>
      <c r="K12" s="50" t="s">
        <v>10</v>
      </c>
      <c r="L12" s="50"/>
      <c r="M12" s="50"/>
      <c r="N12" s="58"/>
      <c r="O12" s="58"/>
      <c r="P12" s="50" t="s">
        <v>268</v>
      </c>
      <c r="Q12" s="50"/>
      <c r="R12" s="53" t="s">
        <v>10</v>
      </c>
      <c r="S12" s="55"/>
      <c r="T12" s="72"/>
      <c r="U12" s="74"/>
      <c r="V12" s="72"/>
      <c r="W12" s="73"/>
      <c r="X12" s="73"/>
      <c r="Y12" s="64" t="s">
        <v>242</v>
      </c>
      <c r="Z12" s="64"/>
      <c r="AA12" s="64"/>
      <c r="AB12" s="64"/>
      <c r="AC12" s="64"/>
      <c r="AD12" s="65" t="s">
        <v>270</v>
      </c>
      <c r="AE12" s="66"/>
      <c r="AF12" s="66"/>
      <c r="AG12" s="66"/>
      <c r="AH12" s="67"/>
      <c r="AI12" s="65" t="s">
        <v>271</v>
      </c>
      <c r="AJ12" s="66"/>
      <c r="AK12" s="66"/>
      <c r="AL12" s="66"/>
      <c r="AM12" s="67"/>
      <c r="AN12" s="50" t="s">
        <v>300</v>
      </c>
      <c r="AO12" s="50"/>
      <c r="AP12" s="50"/>
      <c r="AQ12" s="50"/>
      <c r="AR12" s="50"/>
      <c r="AS12" s="50" t="s">
        <v>272</v>
      </c>
      <c r="AT12" s="50"/>
      <c r="AU12" s="50"/>
      <c r="AV12" s="50"/>
      <c r="AW12" s="50"/>
      <c r="AX12" s="53" t="s">
        <v>301</v>
      </c>
      <c r="AY12" s="54"/>
      <c r="AZ12" s="54"/>
      <c r="BA12" s="54"/>
      <c r="BB12" s="55"/>
      <c r="BC12" s="53" t="s">
        <v>299</v>
      </c>
      <c r="BD12" s="54"/>
      <c r="BE12" s="54"/>
      <c r="BF12" s="54"/>
      <c r="BG12" s="55"/>
      <c r="BH12" s="53" t="s">
        <v>302</v>
      </c>
      <c r="BI12" s="54"/>
      <c r="BJ12" s="54"/>
      <c r="BK12" s="54"/>
      <c r="BL12" s="55"/>
      <c r="BM12" s="53" t="s">
        <v>303</v>
      </c>
      <c r="BN12" s="54"/>
      <c r="BO12" s="54"/>
      <c r="BP12" s="54"/>
      <c r="BQ12" s="55"/>
      <c r="BR12" s="53" t="s">
        <v>304</v>
      </c>
      <c r="BS12" s="54"/>
      <c r="BT12" s="54"/>
      <c r="BU12" s="54"/>
      <c r="BV12" s="55"/>
      <c r="BW12" s="53" t="s">
        <v>305</v>
      </c>
      <c r="BX12" s="54"/>
      <c r="BY12" s="54"/>
      <c r="BZ12" s="54"/>
      <c r="CA12" s="55"/>
      <c r="CB12" s="53" t="s">
        <v>306</v>
      </c>
      <c r="CC12" s="54"/>
      <c r="CD12" s="54"/>
      <c r="CE12" s="54"/>
      <c r="CF12" s="55"/>
      <c r="CG12" s="53" t="s">
        <v>307</v>
      </c>
      <c r="CH12" s="54"/>
      <c r="CI12" s="54"/>
      <c r="CJ12" s="54"/>
      <c r="CK12" s="56"/>
      <c r="CL12" s="71" t="s">
        <v>308</v>
      </c>
      <c r="CM12" s="54"/>
      <c r="CN12" s="54"/>
      <c r="CO12" s="54"/>
      <c r="CP12" s="55"/>
      <c r="CQ12" s="50" t="s">
        <v>309</v>
      </c>
      <c r="CR12" s="50"/>
      <c r="CS12" s="50"/>
      <c r="CT12" s="50"/>
      <c r="CU12" s="50"/>
      <c r="CV12" s="58"/>
    </row>
    <row r="13" spans="1:109" ht="309.75" x14ac:dyDescent="0.25">
      <c r="A13" s="50"/>
      <c r="B13" s="50"/>
      <c r="C13" s="50"/>
      <c r="D13" s="50"/>
      <c r="E13" s="50"/>
      <c r="F13" s="38" t="s">
        <v>268</v>
      </c>
      <c r="G13" s="38" t="s">
        <v>10</v>
      </c>
      <c r="H13" s="35" t="s">
        <v>11</v>
      </c>
      <c r="I13" s="35" t="s">
        <v>12</v>
      </c>
      <c r="J13" s="35" t="s">
        <v>13</v>
      </c>
      <c r="K13" s="35" t="s">
        <v>11</v>
      </c>
      <c r="L13" s="35" t="s">
        <v>12</v>
      </c>
      <c r="M13" s="35" t="s">
        <v>13</v>
      </c>
      <c r="N13" s="59"/>
      <c r="O13" s="59"/>
      <c r="P13" s="35" t="s">
        <v>14</v>
      </c>
      <c r="Q13" s="35" t="s">
        <v>15</v>
      </c>
      <c r="R13" s="35" t="s">
        <v>14</v>
      </c>
      <c r="S13" s="35" t="s">
        <v>15</v>
      </c>
      <c r="T13" s="37" t="s">
        <v>268</v>
      </c>
      <c r="U13" s="37" t="s">
        <v>10</v>
      </c>
      <c r="V13" s="37" t="s">
        <v>193</v>
      </c>
      <c r="W13" s="35" t="s">
        <v>327</v>
      </c>
      <c r="X13" s="35" t="s">
        <v>269</v>
      </c>
      <c r="Y13" s="29" t="s">
        <v>16</v>
      </c>
      <c r="Z13" s="29" t="s">
        <v>17</v>
      </c>
      <c r="AA13" s="29" t="s">
        <v>18</v>
      </c>
      <c r="AB13" s="30" t="s">
        <v>19</v>
      </c>
      <c r="AC13" s="30" t="s">
        <v>20</v>
      </c>
      <c r="AD13" s="35" t="s">
        <v>16</v>
      </c>
      <c r="AE13" s="35" t="s">
        <v>17</v>
      </c>
      <c r="AF13" s="35" t="s">
        <v>18</v>
      </c>
      <c r="AG13" s="37" t="s">
        <v>19</v>
      </c>
      <c r="AH13" s="37" t="s">
        <v>20</v>
      </c>
      <c r="AI13" s="35" t="s">
        <v>16</v>
      </c>
      <c r="AJ13" s="35" t="s">
        <v>17</v>
      </c>
      <c r="AK13" s="35" t="s">
        <v>18</v>
      </c>
      <c r="AL13" s="37" t="s">
        <v>19</v>
      </c>
      <c r="AM13" s="37" t="s">
        <v>20</v>
      </c>
      <c r="AN13" s="35" t="s">
        <v>16</v>
      </c>
      <c r="AO13" s="35" t="s">
        <v>17</v>
      </c>
      <c r="AP13" s="35" t="s">
        <v>18</v>
      </c>
      <c r="AQ13" s="37" t="s">
        <v>19</v>
      </c>
      <c r="AR13" s="37" t="s">
        <v>20</v>
      </c>
      <c r="AS13" s="35" t="s">
        <v>16</v>
      </c>
      <c r="AT13" s="35" t="s">
        <v>17</v>
      </c>
      <c r="AU13" s="35" t="s">
        <v>18</v>
      </c>
      <c r="AV13" s="37" t="s">
        <v>19</v>
      </c>
      <c r="AW13" s="37" t="s">
        <v>20</v>
      </c>
      <c r="AX13" s="35" t="s">
        <v>16</v>
      </c>
      <c r="AY13" s="35" t="s">
        <v>17</v>
      </c>
      <c r="AZ13" s="35" t="s">
        <v>18</v>
      </c>
      <c r="BA13" s="37" t="s">
        <v>19</v>
      </c>
      <c r="BB13" s="37" t="s">
        <v>20</v>
      </c>
      <c r="BC13" s="37" t="s">
        <v>16</v>
      </c>
      <c r="BD13" s="37" t="s">
        <v>17</v>
      </c>
      <c r="BE13" s="37" t="s">
        <v>18</v>
      </c>
      <c r="BF13" s="37" t="s">
        <v>19</v>
      </c>
      <c r="BG13" s="37" t="s">
        <v>20</v>
      </c>
      <c r="BH13" s="35" t="s">
        <v>16</v>
      </c>
      <c r="BI13" s="35" t="s">
        <v>17</v>
      </c>
      <c r="BJ13" s="35" t="s">
        <v>18</v>
      </c>
      <c r="BK13" s="37" t="s">
        <v>19</v>
      </c>
      <c r="BL13" s="37" t="s">
        <v>20</v>
      </c>
      <c r="BM13" s="37" t="s">
        <v>16</v>
      </c>
      <c r="BN13" s="37" t="s">
        <v>17</v>
      </c>
      <c r="BO13" s="37" t="s">
        <v>18</v>
      </c>
      <c r="BP13" s="37" t="s">
        <v>19</v>
      </c>
      <c r="BQ13" s="37" t="s">
        <v>20</v>
      </c>
      <c r="BR13" s="35" t="s">
        <v>16</v>
      </c>
      <c r="BS13" s="35" t="s">
        <v>17</v>
      </c>
      <c r="BT13" s="35" t="s">
        <v>18</v>
      </c>
      <c r="BU13" s="37" t="s">
        <v>19</v>
      </c>
      <c r="BV13" s="37" t="s">
        <v>20</v>
      </c>
      <c r="BW13" s="37" t="s">
        <v>16</v>
      </c>
      <c r="BX13" s="37" t="s">
        <v>17</v>
      </c>
      <c r="BY13" s="37" t="s">
        <v>18</v>
      </c>
      <c r="BZ13" s="37" t="s">
        <v>19</v>
      </c>
      <c r="CA13" s="37" t="s">
        <v>20</v>
      </c>
      <c r="CB13" s="35" t="s">
        <v>16</v>
      </c>
      <c r="CC13" s="35" t="s">
        <v>17</v>
      </c>
      <c r="CD13" s="35" t="s">
        <v>18</v>
      </c>
      <c r="CE13" s="37" t="s">
        <v>19</v>
      </c>
      <c r="CF13" s="37" t="s">
        <v>20</v>
      </c>
      <c r="CG13" s="33" t="s">
        <v>16</v>
      </c>
      <c r="CH13" s="33" t="s">
        <v>17</v>
      </c>
      <c r="CI13" s="33" t="s">
        <v>18</v>
      </c>
      <c r="CJ13" s="33" t="s">
        <v>19</v>
      </c>
      <c r="CK13" s="33" t="s">
        <v>20</v>
      </c>
      <c r="CL13" s="41" t="s">
        <v>16</v>
      </c>
      <c r="CM13" s="42" t="s">
        <v>17</v>
      </c>
      <c r="CN13" s="42" t="s">
        <v>18</v>
      </c>
      <c r="CO13" s="5" t="s">
        <v>19</v>
      </c>
      <c r="CP13" s="5" t="s">
        <v>20</v>
      </c>
      <c r="CQ13" s="5" t="s">
        <v>16</v>
      </c>
      <c r="CR13" s="5" t="s">
        <v>17</v>
      </c>
      <c r="CS13" s="5" t="s">
        <v>18</v>
      </c>
      <c r="CT13" s="5" t="s">
        <v>19</v>
      </c>
      <c r="CU13" s="5" t="s">
        <v>20</v>
      </c>
      <c r="CV13" s="59"/>
    </row>
    <row r="14" spans="1:109" x14ac:dyDescent="0.25">
      <c r="A14" s="35">
        <v>1</v>
      </c>
      <c r="B14" s="35">
        <v>2</v>
      </c>
      <c r="C14" s="35">
        <f>B14+1</f>
        <v>3</v>
      </c>
      <c r="D14" s="35">
        <f t="shared" ref="D14:V14" si="0">C14+1</f>
        <v>4</v>
      </c>
      <c r="E14" s="35">
        <f t="shared" si="0"/>
        <v>5</v>
      </c>
      <c r="F14" s="35">
        <f t="shared" si="0"/>
        <v>6</v>
      </c>
      <c r="G14" s="35">
        <f t="shared" si="0"/>
        <v>7</v>
      </c>
      <c r="H14" s="35">
        <f t="shared" si="0"/>
        <v>8</v>
      </c>
      <c r="I14" s="35">
        <f t="shared" si="0"/>
        <v>9</v>
      </c>
      <c r="J14" s="35">
        <f t="shared" si="0"/>
        <v>10</v>
      </c>
      <c r="K14" s="35">
        <f>J14+1</f>
        <v>11</v>
      </c>
      <c r="L14" s="35">
        <f t="shared" si="0"/>
        <v>12</v>
      </c>
      <c r="M14" s="35">
        <f t="shared" si="0"/>
        <v>13</v>
      </c>
      <c r="N14" s="35">
        <f t="shared" si="0"/>
        <v>14</v>
      </c>
      <c r="O14" s="35">
        <f t="shared" si="0"/>
        <v>15</v>
      </c>
      <c r="P14" s="35">
        <f t="shared" si="0"/>
        <v>16</v>
      </c>
      <c r="Q14" s="35">
        <f t="shared" si="0"/>
        <v>17</v>
      </c>
      <c r="R14" s="35">
        <f t="shared" si="0"/>
        <v>18</v>
      </c>
      <c r="S14" s="35">
        <f t="shared" si="0"/>
        <v>19</v>
      </c>
      <c r="T14" s="35">
        <f t="shared" si="0"/>
        <v>20</v>
      </c>
      <c r="U14" s="35">
        <f t="shared" si="0"/>
        <v>21</v>
      </c>
      <c r="V14" s="35">
        <f t="shared" si="0"/>
        <v>22</v>
      </c>
      <c r="W14" s="35">
        <f t="shared" ref="W14" si="1">V14+1</f>
        <v>23</v>
      </c>
      <c r="X14" s="35">
        <f t="shared" ref="X14" si="2">W14+1</f>
        <v>24</v>
      </c>
      <c r="Y14" s="35">
        <f t="shared" ref="Y14" si="3">X14+1</f>
        <v>25</v>
      </c>
      <c r="Z14" s="35">
        <f t="shared" ref="Z14" si="4">Y14+1</f>
        <v>26</v>
      </c>
      <c r="AA14" s="35">
        <f t="shared" ref="AA14" si="5">Z14+1</f>
        <v>27</v>
      </c>
      <c r="AB14" s="35">
        <f t="shared" ref="AB14" si="6">AA14+1</f>
        <v>28</v>
      </c>
      <c r="AC14" s="35">
        <f t="shared" ref="AC14" si="7">AB14+1</f>
        <v>29</v>
      </c>
      <c r="AD14" s="35">
        <f t="shared" ref="AD14" si="8">AC14+1</f>
        <v>30</v>
      </c>
      <c r="AE14" s="35">
        <f t="shared" ref="AE14" si="9">AD14+1</f>
        <v>31</v>
      </c>
      <c r="AF14" s="35">
        <f t="shared" ref="AF14" si="10">AE14+1</f>
        <v>32</v>
      </c>
      <c r="AG14" s="35">
        <f t="shared" ref="AG14" si="11">AF14+1</f>
        <v>33</v>
      </c>
      <c r="AH14" s="35">
        <f t="shared" ref="AH14" si="12">AG14+1</f>
        <v>34</v>
      </c>
      <c r="AI14" s="35">
        <f t="shared" ref="AI14" si="13">AH14+1</f>
        <v>35</v>
      </c>
      <c r="AJ14" s="35">
        <f t="shared" ref="AJ14" si="14">AI14+1</f>
        <v>36</v>
      </c>
      <c r="AK14" s="35">
        <f t="shared" ref="AK14" si="15">AJ14+1</f>
        <v>37</v>
      </c>
      <c r="AL14" s="35">
        <f t="shared" ref="AL14" si="16">AK14+1</f>
        <v>38</v>
      </c>
      <c r="AM14" s="35">
        <f t="shared" ref="AM14" si="17">AL14+1</f>
        <v>39</v>
      </c>
      <c r="AN14" s="35">
        <f t="shared" ref="AN14" si="18">AM14+1</f>
        <v>40</v>
      </c>
      <c r="AO14" s="35">
        <f t="shared" ref="AO14" si="19">AN14+1</f>
        <v>41</v>
      </c>
      <c r="AP14" s="35">
        <f t="shared" ref="AP14" si="20">AO14+1</f>
        <v>42</v>
      </c>
      <c r="AQ14" s="35">
        <f t="shared" ref="AQ14" si="21">AP14+1</f>
        <v>43</v>
      </c>
      <c r="AR14" s="35">
        <f t="shared" ref="AR14" si="22">AQ14+1</f>
        <v>44</v>
      </c>
      <c r="AS14" s="35">
        <f t="shared" ref="AS14" si="23">AR14+1</f>
        <v>45</v>
      </c>
      <c r="AT14" s="35">
        <f t="shared" ref="AT14" si="24">AS14+1</f>
        <v>46</v>
      </c>
      <c r="AU14" s="35">
        <f t="shared" ref="AU14" si="25">AT14+1</f>
        <v>47</v>
      </c>
      <c r="AV14" s="35">
        <f t="shared" ref="AV14" si="26">AU14+1</f>
        <v>48</v>
      </c>
      <c r="AW14" s="35">
        <f t="shared" ref="AW14" si="27">AV14+1</f>
        <v>49</v>
      </c>
      <c r="AX14" s="35">
        <f t="shared" ref="AX14" si="28">AW14+1</f>
        <v>50</v>
      </c>
      <c r="AY14" s="35">
        <f t="shared" ref="AY14" si="29">AX14+1</f>
        <v>51</v>
      </c>
      <c r="AZ14" s="35">
        <f t="shared" ref="AZ14" si="30">AY14+1</f>
        <v>52</v>
      </c>
      <c r="BA14" s="35">
        <f t="shared" ref="BA14" si="31">AZ14+1</f>
        <v>53</v>
      </c>
      <c r="BB14" s="35">
        <f t="shared" ref="BB14" si="32">BA14+1</f>
        <v>54</v>
      </c>
      <c r="BC14" s="35">
        <f t="shared" ref="BC14" si="33">BB14+1</f>
        <v>55</v>
      </c>
      <c r="BD14" s="35">
        <f t="shared" ref="BD14" si="34">BC14+1</f>
        <v>56</v>
      </c>
      <c r="BE14" s="35">
        <f t="shared" ref="BE14" si="35">BD14+1</f>
        <v>57</v>
      </c>
      <c r="BF14" s="35">
        <f t="shared" ref="BF14" si="36">BE14+1</f>
        <v>58</v>
      </c>
      <c r="BG14" s="35">
        <f t="shared" ref="BG14" si="37">BF14+1</f>
        <v>59</v>
      </c>
      <c r="BH14" s="35">
        <f t="shared" ref="BH14" si="38">BG14+1</f>
        <v>60</v>
      </c>
      <c r="BI14" s="35">
        <f t="shared" ref="BI14" si="39">BH14+1</f>
        <v>61</v>
      </c>
      <c r="BJ14" s="35">
        <f t="shared" ref="BJ14" si="40">BI14+1</f>
        <v>62</v>
      </c>
      <c r="BK14" s="35">
        <f t="shared" ref="BK14" si="41">BJ14+1</f>
        <v>63</v>
      </c>
      <c r="BL14" s="35">
        <f t="shared" ref="BL14" si="42">BK14+1</f>
        <v>64</v>
      </c>
      <c r="BM14" s="35">
        <f t="shared" ref="BM14" si="43">BL14+1</f>
        <v>65</v>
      </c>
      <c r="BN14" s="35">
        <f t="shared" ref="BN14" si="44">BM14+1</f>
        <v>66</v>
      </c>
      <c r="BO14" s="35">
        <f t="shared" ref="BO14" si="45">BN14+1</f>
        <v>67</v>
      </c>
      <c r="BP14" s="35">
        <f t="shared" ref="BP14" si="46">BO14+1</f>
        <v>68</v>
      </c>
      <c r="BQ14" s="35">
        <f t="shared" ref="BQ14" si="47">BP14+1</f>
        <v>69</v>
      </c>
      <c r="BR14" s="35">
        <f t="shared" ref="BR14" si="48">BQ14+1</f>
        <v>70</v>
      </c>
      <c r="BS14" s="35">
        <f t="shared" ref="BS14" si="49">BR14+1</f>
        <v>71</v>
      </c>
      <c r="BT14" s="35">
        <f t="shared" ref="BT14" si="50">BS14+1</f>
        <v>72</v>
      </c>
      <c r="BU14" s="35">
        <f t="shared" ref="BU14" si="51">BT14+1</f>
        <v>73</v>
      </c>
      <c r="BV14" s="35">
        <f t="shared" ref="BV14" si="52">BU14+1</f>
        <v>74</v>
      </c>
      <c r="BW14" s="35">
        <f t="shared" ref="BW14" si="53">BV14+1</f>
        <v>75</v>
      </c>
      <c r="BX14" s="35">
        <f t="shared" ref="BX14" si="54">BW14+1</f>
        <v>76</v>
      </c>
      <c r="BY14" s="35">
        <f t="shared" ref="BY14" si="55">BX14+1</f>
        <v>77</v>
      </c>
      <c r="BZ14" s="35">
        <f t="shared" ref="BZ14" si="56">BY14+1</f>
        <v>78</v>
      </c>
      <c r="CA14" s="35">
        <f t="shared" ref="CA14" si="57">BZ14+1</f>
        <v>79</v>
      </c>
      <c r="CB14" s="35">
        <f t="shared" ref="CB14" si="58">CA14+1</f>
        <v>80</v>
      </c>
      <c r="CC14" s="35">
        <f t="shared" ref="CC14" si="59">CB14+1</f>
        <v>81</v>
      </c>
      <c r="CD14" s="35">
        <f t="shared" ref="CD14" si="60">CC14+1</f>
        <v>82</v>
      </c>
      <c r="CE14" s="35">
        <f t="shared" ref="CE14" si="61">CD14+1</f>
        <v>83</v>
      </c>
      <c r="CF14" s="35">
        <f t="shared" ref="CF14" si="62">CE14+1</f>
        <v>84</v>
      </c>
      <c r="CG14" s="35">
        <f t="shared" ref="CG14" si="63">CF14+1</f>
        <v>85</v>
      </c>
      <c r="CH14" s="35">
        <f t="shared" ref="CH14" si="64">CG14+1</f>
        <v>86</v>
      </c>
      <c r="CI14" s="35">
        <f t="shared" ref="CI14" si="65">CH14+1</f>
        <v>87</v>
      </c>
      <c r="CJ14" s="35">
        <f t="shared" ref="CJ14" si="66">CI14+1</f>
        <v>88</v>
      </c>
      <c r="CK14" s="35">
        <f t="shared" ref="CK14" si="67">CJ14+1</f>
        <v>89</v>
      </c>
      <c r="CL14" s="35">
        <v>91</v>
      </c>
      <c r="CM14" s="35">
        <f t="shared" ref="CM14" si="68">CL14+1</f>
        <v>92</v>
      </c>
      <c r="CN14" s="35">
        <f t="shared" ref="CN14" si="69">CM14+1</f>
        <v>93</v>
      </c>
      <c r="CO14" s="35">
        <f t="shared" ref="CO14" si="70">CN14+1</f>
        <v>94</v>
      </c>
      <c r="CP14" s="35">
        <f t="shared" ref="CP14" si="71">CO14+1</f>
        <v>95</v>
      </c>
      <c r="CQ14" s="35">
        <f t="shared" ref="CQ14" si="72">CP14+1</f>
        <v>96</v>
      </c>
      <c r="CR14" s="35">
        <f t="shared" ref="CR14" si="73">CQ14+1</f>
        <v>97</v>
      </c>
      <c r="CS14" s="35">
        <f t="shared" ref="CS14" si="74">CR14+1</f>
        <v>98</v>
      </c>
      <c r="CT14" s="35">
        <f t="shared" ref="CT14" si="75">CS14+1</f>
        <v>99</v>
      </c>
      <c r="CU14" s="35">
        <f t="shared" ref="CU14" si="76">CT14+1</f>
        <v>100</v>
      </c>
      <c r="CV14" s="35">
        <f t="shared" ref="CV14" si="77">CU14+1</f>
        <v>101</v>
      </c>
    </row>
    <row r="15" spans="1:109" ht="31.5" x14ac:dyDescent="0.25">
      <c r="A15" s="25">
        <v>0</v>
      </c>
      <c r="B15" s="25" t="s">
        <v>151</v>
      </c>
      <c r="C15" s="25" t="s">
        <v>103</v>
      </c>
      <c r="D15" s="26">
        <f>SUM(D16:D21)</f>
        <v>0</v>
      </c>
      <c r="E15" s="26">
        <v>0</v>
      </c>
      <c r="F15" s="26">
        <v>0</v>
      </c>
      <c r="G15" s="26">
        <v>0</v>
      </c>
      <c r="H15" s="26">
        <f t="shared" ref="H15:BG15" si="78">SUM(H16:H21)</f>
        <v>136.55523068627622</v>
      </c>
      <c r="I15" s="26">
        <f t="shared" si="78"/>
        <v>1045.3470707626823</v>
      </c>
      <c r="J15" s="26">
        <f t="shared" si="78"/>
        <v>0</v>
      </c>
      <c r="K15" s="26">
        <f>SUM(K16:K21)</f>
        <v>138.44718500113623</v>
      </c>
      <c r="L15" s="26">
        <f>SUM(L16:L21)</f>
        <v>1114.3247185243024</v>
      </c>
      <c r="M15" s="26">
        <f t="shared" si="78"/>
        <v>0</v>
      </c>
      <c r="N15" s="26">
        <f t="shared" si="78"/>
        <v>78.769127087999991</v>
      </c>
      <c r="O15" s="26">
        <f t="shared" si="78"/>
        <v>2.0511050879999999</v>
      </c>
      <c r="P15" s="26">
        <f t="shared" si="78"/>
        <v>3583.7554072372809</v>
      </c>
      <c r="Q15" s="26">
        <f t="shared" si="78"/>
        <v>3959.4904206576457</v>
      </c>
      <c r="R15" s="26">
        <f t="shared" si="78"/>
        <v>3672.2516917341609</v>
      </c>
      <c r="S15" s="26">
        <f t="shared" si="78"/>
        <v>4441.9250759785391</v>
      </c>
      <c r="T15" s="26">
        <f>SUM(T16:T21)</f>
        <v>1247.0364972081722</v>
      </c>
      <c r="U15" s="26">
        <f>SUM(U16:U21)</f>
        <v>1304.7441834634485</v>
      </c>
      <c r="V15" s="26">
        <f>T15</f>
        <v>1247.0364972081722</v>
      </c>
      <c r="W15" s="26">
        <f>T15-Y15-AD15</f>
        <v>1091.8592540461202</v>
      </c>
      <c r="X15" s="26">
        <f>SUM(X16:X21)</f>
        <v>1140.7715693904881</v>
      </c>
      <c r="Y15" s="26">
        <f t="shared" ref="Y15:AC15" si="79">SUM(Y16:Y21)</f>
        <v>3.4705392000000002</v>
      </c>
      <c r="Z15" s="26">
        <f t="shared" si="79"/>
        <v>0</v>
      </c>
      <c r="AA15" s="26">
        <f t="shared" si="79"/>
        <v>0</v>
      </c>
      <c r="AB15" s="26">
        <f t="shared" si="79"/>
        <v>3.4705392000000002</v>
      </c>
      <c r="AC15" s="26">
        <f t="shared" si="79"/>
        <v>0</v>
      </c>
      <c r="AD15" s="26">
        <f>SUM(AD16:AD21)</f>
        <v>151.70670396205199</v>
      </c>
      <c r="AE15" s="26">
        <f t="shared" ref="AE15:AM15" si="80">SUM(AE16:AE21)</f>
        <v>0</v>
      </c>
      <c r="AF15" s="26">
        <f t="shared" si="80"/>
        <v>0</v>
      </c>
      <c r="AG15" s="26">
        <f t="shared" si="80"/>
        <v>126.33432396205198</v>
      </c>
      <c r="AH15" s="26">
        <f t="shared" si="80"/>
        <v>25.37238</v>
      </c>
      <c r="AI15" s="26">
        <f t="shared" si="80"/>
        <v>160.50207487296001</v>
      </c>
      <c r="AJ15" s="26">
        <f t="shared" si="80"/>
        <v>0</v>
      </c>
      <c r="AK15" s="26">
        <f t="shared" si="80"/>
        <v>0</v>
      </c>
      <c r="AL15" s="26">
        <f t="shared" si="80"/>
        <v>132.55472986896001</v>
      </c>
      <c r="AM15" s="26">
        <f t="shared" si="80"/>
        <v>27.947345003999999</v>
      </c>
      <c r="AN15" s="26">
        <f>SUM(AN16:AN21)</f>
        <v>217.27407287610001</v>
      </c>
      <c r="AO15" s="26">
        <f t="shared" si="78"/>
        <v>0</v>
      </c>
      <c r="AP15" s="26">
        <f t="shared" si="78"/>
        <v>0</v>
      </c>
      <c r="AQ15" s="26">
        <f t="shared" si="78"/>
        <v>217.27407287610001</v>
      </c>
      <c r="AR15" s="26">
        <f t="shared" si="78"/>
        <v>0</v>
      </c>
      <c r="AS15" s="26">
        <f t="shared" si="78"/>
        <v>258.74540933189996</v>
      </c>
      <c r="AT15" s="26">
        <f t="shared" si="78"/>
        <v>0</v>
      </c>
      <c r="AU15" s="26">
        <f t="shared" si="78"/>
        <v>0</v>
      </c>
      <c r="AV15" s="26">
        <f t="shared" si="78"/>
        <v>216.2573158239</v>
      </c>
      <c r="AW15" s="26">
        <f t="shared" si="78"/>
        <v>42.488093507999999</v>
      </c>
      <c r="AX15" s="26">
        <f t="shared" si="78"/>
        <v>216.51044055852</v>
      </c>
      <c r="AY15" s="26">
        <f t="shared" si="78"/>
        <v>0</v>
      </c>
      <c r="AZ15" s="26">
        <f t="shared" si="78"/>
        <v>0</v>
      </c>
      <c r="BA15" s="26">
        <f t="shared" si="78"/>
        <v>216.51044055852</v>
      </c>
      <c r="BB15" s="26">
        <f t="shared" si="78"/>
        <v>0</v>
      </c>
      <c r="BC15" s="26">
        <f t="shared" si="78"/>
        <v>226.00252453508813</v>
      </c>
      <c r="BD15" s="26">
        <f t="shared" si="78"/>
        <v>0</v>
      </c>
      <c r="BE15" s="26">
        <f t="shared" si="78"/>
        <v>0</v>
      </c>
      <c r="BF15" s="26">
        <f t="shared" si="78"/>
        <v>226.00252453508813</v>
      </c>
      <c r="BG15" s="26">
        <f t="shared" si="78"/>
        <v>0</v>
      </c>
      <c r="BH15" s="26">
        <f>SUM(BH16:BH21)</f>
        <v>213.71655396450001</v>
      </c>
      <c r="BI15" s="26">
        <f t="shared" ref="BI15:CK15" si="81">SUM(BI16:BI21)</f>
        <v>0</v>
      </c>
      <c r="BJ15" s="26">
        <f t="shared" si="81"/>
        <v>0</v>
      </c>
      <c r="BK15" s="26">
        <f t="shared" si="81"/>
        <v>213.71655396450001</v>
      </c>
      <c r="BL15" s="26">
        <f t="shared" si="81"/>
        <v>0</v>
      </c>
      <c r="BM15" s="26">
        <f t="shared" si="81"/>
        <v>213.71655396450001</v>
      </c>
      <c r="BN15" s="26">
        <f t="shared" si="81"/>
        <v>0</v>
      </c>
      <c r="BO15" s="26">
        <f t="shared" si="81"/>
        <v>0</v>
      </c>
      <c r="BP15" s="26">
        <f t="shared" si="81"/>
        <v>213.71655396450001</v>
      </c>
      <c r="BQ15" s="26">
        <f t="shared" si="81"/>
        <v>0</v>
      </c>
      <c r="BR15" s="26">
        <f t="shared" si="81"/>
        <v>220.46851981367999</v>
      </c>
      <c r="BS15" s="26">
        <f t="shared" si="81"/>
        <v>0</v>
      </c>
      <c r="BT15" s="26">
        <f t="shared" si="81"/>
        <v>0</v>
      </c>
      <c r="BU15" s="26">
        <f t="shared" si="81"/>
        <v>220.46851981367999</v>
      </c>
      <c r="BV15" s="26">
        <f t="shared" si="81"/>
        <v>0</v>
      </c>
      <c r="BW15" s="26">
        <f t="shared" si="81"/>
        <v>220.46851981367999</v>
      </c>
      <c r="BX15" s="26">
        <f t="shared" si="81"/>
        <v>0</v>
      </c>
      <c r="BY15" s="26">
        <f t="shared" si="81"/>
        <v>0</v>
      </c>
      <c r="BZ15" s="26">
        <f t="shared" si="81"/>
        <v>220.46851981367999</v>
      </c>
      <c r="CA15" s="26">
        <f t="shared" si="81"/>
        <v>0</v>
      </c>
      <c r="CB15" s="26">
        <f t="shared" si="81"/>
        <v>221.83856174531999</v>
      </c>
      <c r="CC15" s="26">
        <f t="shared" si="81"/>
        <v>0</v>
      </c>
      <c r="CD15" s="26">
        <f t="shared" si="81"/>
        <v>0</v>
      </c>
      <c r="CE15" s="26">
        <f t="shared" si="81"/>
        <v>221.83856174531999</v>
      </c>
      <c r="CF15" s="26">
        <f t="shared" si="81"/>
        <v>0</v>
      </c>
      <c r="CG15" s="26">
        <f t="shared" si="81"/>
        <v>221.83856174531999</v>
      </c>
      <c r="CH15" s="26">
        <f t="shared" si="81"/>
        <v>0</v>
      </c>
      <c r="CI15" s="26">
        <f t="shared" si="81"/>
        <v>0</v>
      </c>
      <c r="CJ15" s="26">
        <f t="shared" si="81"/>
        <v>221.83856174531999</v>
      </c>
      <c r="CK15" s="26">
        <f t="shared" si="81"/>
        <v>0</v>
      </c>
      <c r="CL15" s="26">
        <v>1241.5148529201724</v>
      </c>
      <c r="CM15" s="26">
        <f t="shared" ref="CM15:CO15" si="82">SUM(CM16:CM21)</f>
        <v>0</v>
      </c>
      <c r="CN15" s="26">
        <f t="shared" si="82"/>
        <v>0</v>
      </c>
      <c r="CO15" s="26">
        <f t="shared" si="82"/>
        <v>1216.1424729201724</v>
      </c>
      <c r="CP15" s="26">
        <f>SUM(CP16:CP21)</f>
        <v>25.37238</v>
      </c>
      <c r="CQ15" s="26">
        <f t="shared" ref="CQ15:CU15" si="83">SUM(CQ16:CQ21)</f>
        <v>1301.2736442634484</v>
      </c>
      <c r="CR15" s="26">
        <f t="shared" si="83"/>
        <v>0</v>
      </c>
      <c r="CS15" s="26">
        <f t="shared" si="83"/>
        <v>0</v>
      </c>
      <c r="CT15" s="26">
        <f t="shared" si="83"/>
        <v>1230.8382057514484</v>
      </c>
      <c r="CU15" s="26">
        <f t="shared" si="83"/>
        <v>70.43543851199999</v>
      </c>
      <c r="CV15" s="16" t="s">
        <v>103</v>
      </c>
    </row>
    <row r="16" spans="1:109" x14ac:dyDescent="0.25">
      <c r="A16" s="25" t="s">
        <v>152</v>
      </c>
      <c r="B16" s="25" t="s">
        <v>153</v>
      </c>
      <c r="C16" s="25" t="s">
        <v>112</v>
      </c>
      <c r="D16" s="26">
        <f>SUM(D24)</f>
        <v>0</v>
      </c>
      <c r="E16" s="26">
        <f t="shared" ref="E16:CK16" si="84">SUM(E24)</f>
        <v>0</v>
      </c>
      <c r="F16" s="26">
        <f t="shared" si="84"/>
        <v>0</v>
      </c>
      <c r="G16" s="26">
        <v>0</v>
      </c>
      <c r="H16" s="26">
        <f t="shared" si="84"/>
        <v>0</v>
      </c>
      <c r="I16" s="26">
        <f t="shared" si="84"/>
        <v>25.37238</v>
      </c>
      <c r="J16" s="26">
        <f t="shared" si="84"/>
        <v>0</v>
      </c>
      <c r="K16" s="26">
        <f>SUM(K24)</f>
        <v>0</v>
      </c>
      <c r="L16" s="26">
        <f t="shared" si="84"/>
        <v>70.43543851199999</v>
      </c>
      <c r="M16" s="26">
        <f t="shared" si="84"/>
        <v>0</v>
      </c>
      <c r="N16" s="26">
        <f t="shared" si="84"/>
        <v>78.769127087999991</v>
      </c>
      <c r="O16" s="26">
        <f t="shared" si="84"/>
        <v>0</v>
      </c>
      <c r="P16" s="26">
        <f t="shared" si="84"/>
        <v>66.308583882720001</v>
      </c>
      <c r="Q16" s="26">
        <f t="shared" si="84"/>
        <v>66.308583882720001</v>
      </c>
      <c r="R16" s="26">
        <f t="shared" si="84"/>
        <v>153.24676791696001</v>
      </c>
      <c r="S16" s="26">
        <f t="shared" si="84"/>
        <v>162.37159772875128</v>
      </c>
      <c r="T16" s="26">
        <f>SUM(T24)</f>
        <v>25.37238</v>
      </c>
      <c r="U16" s="26">
        <f>SUM(U24)</f>
        <v>70.43543851199999</v>
      </c>
      <c r="V16" s="26">
        <f t="shared" ref="V16:V17" si="85">T16</f>
        <v>25.37238</v>
      </c>
      <c r="W16" s="26">
        <f>T16-Y16-AD16</f>
        <v>0</v>
      </c>
      <c r="X16" s="26">
        <f t="shared" ref="X16" si="86">SUM(X24)</f>
        <v>42.488093507999999</v>
      </c>
      <c r="Y16" s="26">
        <f t="shared" si="84"/>
        <v>0</v>
      </c>
      <c r="Z16" s="26">
        <f t="shared" si="84"/>
        <v>0</v>
      </c>
      <c r="AA16" s="26">
        <f t="shared" si="84"/>
        <v>0</v>
      </c>
      <c r="AB16" s="26">
        <f t="shared" si="84"/>
        <v>0</v>
      </c>
      <c r="AC16" s="26">
        <f t="shared" si="84"/>
        <v>0</v>
      </c>
      <c r="AD16" s="26">
        <f t="shared" ref="AD16:AM16" si="87">SUM(AD24)</f>
        <v>25.37238</v>
      </c>
      <c r="AE16" s="26">
        <f t="shared" si="87"/>
        <v>0</v>
      </c>
      <c r="AF16" s="26">
        <f t="shared" si="87"/>
        <v>0</v>
      </c>
      <c r="AG16" s="26">
        <f t="shared" si="87"/>
        <v>0</v>
      </c>
      <c r="AH16" s="26">
        <f t="shared" si="87"/>
        <v>25.37238</v>
      </c>
      <c r="AI16" s="26">
        <f t="shared" si="87"/>
        <v>27.947345003999999</v>
      </c>
      <c r="AJ16" s="26">
        <f t="shared" si="87"/>
        <v>0</v>
      </c>
      <c r="AK16" s="26">
        <f t="shared" si="87"/>
        <v>0</v>
      </c>
      <c r="AL16" s="26">
        <f t="shared" si="87"/>
        <v>0</v>
      </c>
      <c r="AM16" s="26">
        <f t="shared" si="87"/>
        <v>27.947345003999999</v>
      </c>
      <c r="AN16" s="26">
        <f t="shared" si="84"/>
        <v>0</v>
      </c>
      <c r="AO16" s="26">
        <f t="shared" si="84"/>
        <v>0</v>
      </c>
      <c r="AP16" s="26">
        <f t="shared" si="84"/>
        <v>0</v>
      </c>
      <c r="AQ16" s="26">
        <f t="shared" si="84"/>
        <v>0</v>
      </c>
      <c r="AR16" s="26">
        <f t="shared" si="84"/>
        <v>0</v>
      </c>
      <c r="AS16" s="26">
        <f t="shared" si="84"/>
        <v>42.488093507999999</v>
      </c>
      <c r="AT16" s="26">
        <f t="shared" si="84"/>
        <v>0</v>
      </c>
      <c r="AU16" s="26">
        <f t="shared" si="84"/>
        <v>0</v>
      </c>
      <c r="AV16" s="26">
        <f t="shared" si="84"/>
        <v>0</v>
      </c>
      <c r="AW16" s="26">
        <f t="shared" si="84"/>
        <v>42.488093507999999</v>
      </c>
      <c r="AX16" s="26">
        <f t="shared" si="84"/>
        <v>0</v>
      </c>
      <c r="AY16" s="26">
        <f t="shared" si="84"/>
        <v>0</v>
      </c>
      <c r="AZ16" s="26">
        <f t="shared" si="84"/>
        <v>0</v>
      </c>
      <c r="BA16" s="26">
        <f t="shared" si="84"/>
        <v>0</v>
      </c>
      <c r="BB16" s="26">
        <f t="shared" si="84"/>
        <v>0</v>
      </c>
      <c r="BC16" s="26">
        <f t="shared" si="84"/>
        <v>0</v>
      </c>
      <c r="BD16" s="26">
        <f t="shared" si="84"/>
        <v>0</v>
      </c>
      <c r="BE16" s="26">
        <f t="shared" si="84"/>
        <v>0</v>
      </c>
      <c r="BF16" s="26">
        <f t="shared" si="84"/>
        <v>0</v>
      </c>
      <c r="BG16" s="26">
        <f t="shared" si="84"/>
        <v>0</v>
      </c>
      <c r="BH16" s="26">
        <f t="shared" si="84"/>
        <v>0</v>
      </c>
      <c r="BI16" s="26">
        <f t="shared" si="84"/>
        <v>0</v>
      </c>
      <c r="BJ16" s="26">
        <v>0</v>
      </c>
      <c r="BK16" s="26">
        <v>0</v>
      </c>
      <c r="BL16" s="26">
        <v>0</v>
      </c>
      <c r="BM16" s="26">
        <v>0</v>
      </c>
      <c r="BN16" s="26">
        <v>0</v>
      </c>
      <c r="BO16" s="26">
        <v>0</v>
      </c>
      <c r="BP16" s="26">
        <v>0</v>
      </c>
      <c r="BQ16" s="26">
        <v>0</v>
      </c>
      <c r="BR16" s="26">
        <v>0</v>
      </c>
      <c r="BS16" s="26">
        <v>0</v>
      </c>
      <c r="BT16" s="26">
        <f t="shared" si="84"/>
        <v>0</v>
      </c>
      <c r="BU16" s="26">
        <f t="shared" si="84"/>
        <v>0</v>
      </c>
      <c r="BV16" s="26">
        <f t="shared" si="84"/>
        <v>0</v>
      </c>
      <c r="BW16" s="26">
        <f t="shared" si="84"/>
        <v>0</v>
      </c>
      <c r="BX16" s="26">
        <f t="shared" si="84"/>
        <v>0</v>
      </c>
      <c r="BY16" s="26">
        <f t="shared" si="84"/>
        <v>0</v>
      </c>
      <c r="BZ16" s="26">
        <f t="shared" si="84"/>
        <v>0</v>
      </c>
      <c r="CA16" s="26">
        <f t="shared" si="84"/>
        <v>0</v>
      </c>
      <c r="CB16" s="26">
        <f t="shared" si="84"/>
        <v>0</v>
      </c>
      <c r="CC16" s="26">
        <f t="shared" si="84"/>
        <v>0</v>
      </c>
      <c r="CD16" s="26">
        <f t="shared" si="84"/>
        <v>0</v>
      </c>
      <c r="CE16" s="26">
        <f t="shared" si="84"/>
        <v>0</v>
      </c>
      <c r="CF16" s="26">
        <f t="shared" si="84"/>
        <v>0</v>
      </c>
      <c r="CG16" s="26">
        <f t="shared" si="84"/>
        <v>0</v>
      </c>
      <c r="CH16" s="26">
        <f t="shared" si="84"/>
        <v>0</v>
      </c>
      <c r="CI16" s="26">
        <f t="shared" si="84"/>
        <v>0</v>
      </c>
      <c r="CJ16" s="26">
        <f t="shared" si="84"/>
        <v>0</v>
      </c>
      <c r="CK16" s="26">
        <f t="shared" si="84"/>
        <v>0</v>
      </c>
      <c r="CL16" s="26">
        <v>25.37238</v>
      </c>
      <c r="CM16" s="26">
        <f t="shared" ref="CM16:CU16" si="88">SUM(CM24)</f>
        <v>0</v>
      </c>
      <c r="CN16" s="26">
        <f t="shared" si="88"/>
        <v>0</v>
      </c>
      <c r="CO16" s="26">
        <f t="shared" si="88"/>
        <v>0</v>
      </c>
      <c r="CP16" s="26">
        <f t="shared" si="88"/>
        <v>25.37238</v>
      </c>
      <c r="CQ16" s="26">
        <f t="shared" si="88"/>
        <v>70.43543851199999</v>
      </c>
      <c r="CR16" s="26">
        <f t="shared" si="88"/>
        <v>0</v>
      </c>
      <c r="CS16" s="26">
        <f t="shared" si="88"/>
        <v>0</v>
      </c>
      <c r="CT16" s="26">
        <f t="shared" si="88"/>
        <v>0</v>
      </c>
      <c r="CU16" s="26">
        <f t="shared" si="88"/>
        <v>70.43543851199999</v>
      </c>
      <c r="CV16" s="16" t="s">
        <v>103</v>
      </c>
    </row>
    <row r="17" spans="1:100" ht="31.5" x14ac:dyDescent="0.25">
      <c r="A17" s="25" t="s">
        <v>154</v>
      </c>
      <c r="B17" s="25" t="s">
        <v>155</v>
      </c>
      <c r="C17" s="25" t="s">
        <v>112</v>
      </c>
      <c r="D17" s="26">
        <f>SUM(D60)</f>
        <v>0</v>
      </c>
      <c r="E17" s="26">
        <v>0</v>
      </c>
      <c r="F17" s="26">
        <v>0</v>
      </c>
      <c r="G17" s="26">
        <v>0</v>
      </c>
      <c r="H17" s="26">
        <f t="shared" ref="H17:AT17" si="89">H50</f>
        <v>136.50911884627621</v>
      </c>
      <c r="I17" s="26">
        <f>I50</f>
        <v>1008.6189599326823</v>
      </c>
      <c r="J17" s="26" t="str">
        <f t="shared" si="89"/>
        <v>нд</v>
      </c>
      <c r="K17" s="26">
        <f t="shared" si="89"/>
        <v>138.40107316113622</v>
      </c>
      <c r="L17" s="26">
        <f t="shared" si="89"/>
        <v>1025.9768415134822</v>
      </c>
      <c r="M17" s="26" t="s">
        <v>103</v>
      </c>
      <c r="N17" s="26" t="str">
        <f t="shared" si="89"/>
        <v>нд</v>
      </c>
      <c r="O17" s="26">
        <f t="shared" si="89"/>
        <v>2.0511050879999999</v>
      </c>
      <c r="P17" s="26">
        <f t="shared" si="89"/>
        <v>3517.4468233545608</v>
      </c>
      <c r="Q17" s="26">
        <f t="shared" si="89"/>
        <v>3893.1818367749256</v>
      </c>
      <c r="R17" s="26">
        <f t="shared" si="89"/>
        <v>3519.004923817201</v>
      </c>
      <c r="S17" s="26">
        <f t="shared" si="89"/>
        <v>4279.553478249788</v>
      </c>
      <c r="T17" s="26">
        <f>T50</f>
        <v>1208.3885721140402</v>
      </c>
      <c r="U17" s="26">
        <f>U50</f>
        <v>1214.219832451822</v>
      </c>
      <c r="V17" s="26">
        <f t="shared" si="85"/>
        <v>1208.3885721140402</v>
      </c>
      <c r="W17" s="26">
        <f>T17-Y17-AD17</f>
        <v>1084.8522996781203</v>
      </c>
      <c r="X17" s="26">
        <f t="shared" si="89"/>
        <v>1083.3406552998217</v>
      </c>
      <c r="Y17" s="26">
        <f t="shared" si="89"/>
        <v>3.4705392000000002</v>
      </c>
      <c r="Z17" s="26">
        <f t="shared" si="89"/>
        <v>0</v>
      </c>
      <c r="AA17" s="26">
        <f t="shared" si="89"/>
        <v>0</v>
      </c>
      <c r="AB17" s="26">
        <f t="shared" si="89"/>
        <v>3.4705392000000002</v>
      </c>
      <c r="AC17" s="26">
        <f t="shared" si="89"/>
        <v>0</v>
      </c>
      <c r="AD17" s="26">
        <f t="shared" si="89"/>
        <v>120.06573323591998</v>
      </c>
      <c r="AE17" s="26">
        <f t="shared" si="89"/>
        <v>0</v>
      </c>
      <c r="AF17" s="26">
        <f t="shared" si="89"/>
        <v>0</v>
      </c>
      <c r="AG17" s="26">
        <f t="shared" si="89"/>
        <v>120.06573323591998</v>
      </c>
      <c r="AH17" s="26">
        <f t="shared" si="89"/>
        <v>0</v>
      </c>
      <c r="AI17" s="26">
        <f t="shared" si="89"/>
        <v>127.40863795200002</v>
      </c>
      <c r="AJ17" s="26">
        <f t="shared" si="89"/>
        <v>0</v>
      </c>
      <c r="AK17" s="26">
        <f t="shared" si="89"/>
        <v>0</v>
      </c>
      <c r="AL17" s="26">
        <f t="shared" si="89"/>
        <v>127.40863795200002</v>
      </c>
      <c r="AM17" s="26">
        <f t="shared" si="89"/>
        <v>0</v>
      </c>
      <c r="AN17" s="26">
        <f t="shared" si="89"/>
        <v>217.0348024761</v>
      </c>
      <c r="AO17" s="26">
        <f t="shared" si="89"/>
        <v>0</v>
      </c>
      <c r="AP17" s="26">
        <f t="shared" si="89"/>
        <v>0</v>
      </c>
      <c r="AQ17" s="26">
        <f t="shared" si="89"/>
        <v>217.0348024761</v>
      </c>
      <c r="AR17" s="26">
        <f t="shared" si="89"/>
        <v>0</v>
      </c>
      <c r="AS17" s="26">
        <f t="shared" si="89"/>
        <v>211.67439183875999</v>
      </c>
      <c r="AT17" s="26">
        <f t="shared" si="89"/>
        <v>0</v>
      </c>
      <c r="AU17" s="26">
        <f t="shared" ref="AU17:CK17" si="90">AU50</f>
        <v>0</v>
      </c>
      <c r="AV17" s="26">
        <f t="shared" si="90"/>
        <v>211.67439183875999</v>
      </c>
      <c r="AW17" s="26">
        <f t="shared" si="90"/>
        <v>0</v>
      </c>
      <c r="AX17" s="26">
        <f t="shared" si="90"/>
        <v>216.51044055852</v>
      </c>
      <c r="AY17" s="26">
        <f t="shared" si="90"/>
        <v>0</v>
      </c>
      <c r="AZ17" s="26">
        <f t="shared" si="90"/>
        <v>0</v>
      </c>
      <c r="BA17" s="26">
        <f t="shared" si="90"/>
        <v>216.51044055852</v>
      </c>
      <c r="BB17" s="26">
        <f t="shared" si="90"/>
        <v>0</v>
      </c>
      <c r="BC17" s="26">
        <f t="shared" si="90"/>
        <v>222.41031190556166</v>
      </c>
      <c r="BD17" s="26">
        <f t="shared" si="90"/>
        <v>0</v>
      </c>
      <c r="BE17" s="26">
        <f t="shared" si="90"/>
        <v>0</v>
      </c>
      <c r="BF17" s="26">
        <f t="shared" si="90"/>
        <v>222.41031190556166</v>
      </c>
      <c r="BG17" s="26">
        <f t="shared" si="90"/>
        <v>0</v>
      </c>
      <c r="BH17" s="26">
        <f t="shared" si="90"/>
        <v>213.71655396450001</v>
      </c>
      <c r="BI17" s="26">
        <f t="shared" si="90"/>
        <v>0</v>
      </c>
      <c r="BJ17" s="26">
        <f t="shared" si="90"/>
        <v>0</v>
      </c>
      <c r="BK17" s="26">
        <f t="shared" si="90"/>
        <v>213.71655396450001</v>
      </c>
      <c r="BL17" s="26">
        <f t="shared" si="90"/>
        <v>0</v>
      </c>
      <c r="BM17" s="26">
        <f t="shared" si="90"/>
        <v>213.71655396450001</v>
      </c>
      <c r="BN17" s="26">
        <f t="shared" si="90"/>
        <v>0</v>
      </c>
      <c r="BO17" s="26">
        <f t="shared" si="90"/>
        <v>0</v>
      </c>
      <c r="BP17" s="26">
        <f t="shared" si="90"/>
        <v>213.71655396450001</v>
      </c>
      <c r="BQ17" s="26">
        <f t="shared" si="90"/>
        <v>0</v>
      </c>
      <c r="BR17" s="26">
        <f t="shared" si="90"/>
        <v>220.46851981367999</v>
      </c>
      <c r="BS17" s="26">
        <f t="shared" si="90"/>
        <v>0</v>
      </c>
      <c r="BT17" s="26">
        <f t="shared" si="90"/>
        <v>0</v>
      </c>
      <c r="BU17" s="26">
        <f t="shared" si="90"/>
        <v>220.46851981367999</v>
      </c>
      <c r="BV17" s="26">
        <f t="shared" si="90"/>
        <v>0</v>
      </c>
      <c r="BW17" s="26">
        <f t="shared" si="90"/>
        <v>220.46851981367999</v>
      </c>
      <c r="BX17" s="26">
        <f t="shared" si="90"/>
        <v>0</v>
      </c>
      <c r="BY17" s="26">
        <f t="shared" si="90"/>
        <v>0</v>
      </c>
      <c r="BZ17" s="26">
        <f t="shared" si="90"/>
        <v>220.46851981367999</v>
      </c>
      <c r="CA17" s="26">
        <f t="shared" si="90"/>
        <v>0</v>
      </c>
      <c r="CB17" s="26">
        <f t="shared" si="90"/>
        <v>215.07087777731999</v>
      </c>
      <c r="CC17" s="26">
        <f t="shared" si="90"/>
        <v>0</v>
      </c>
      <c r="CD17" s="26">
        <f t="shared" si="90"/>
        <v>0</v>
      </c>
      <c r="CE17" s="26">
        <f>CE50</f>
        <v>215.07087777731999</v>
      </c>
      <c r="CF17" s="26">
        <f t="shared" si="90"/>
        <v>0</v>
      </c>
      <c r="CG17" s="26">
        <f t="shared" si="90"/>
        <v>215.07087777731999</v>
      </c>
      <c r="CH17" s="26">
        <f t="shared" si="90"/>
        <v>0</v>
      </c>
      <c r="CI17" s="26">
        <f t="shared" si="90"/>
        <v>0</v>
      </c>
      <c r="CJ17" s="26">
        <f t="shared" si="90"/>
        <v>215.07087777731999</v>
      </c>
      <c r="CK17" s="26">
        <f t="shared" si="90"/>
        <v>0</v>
      </c>
      <c r="CL17" s="26">
        <v>1202.8669278260404</v>
      </c>
      <c r="CM17" s="26">
        <f t="shared" ref="CM17:CU17" si="91">CM50</f>
        <v>0</v>
      </c>
      <c r="CN17" s="26">
        <f t="shared" si="91"/>
        <v>0</v>
      </c>
      <c r="CO17" s="26">
        <f t="shared" si="91"/>
        <v>1202.8669278260404</v>
      </c>
      <c r="CP17" s="26">
        <f t="shared" si="91"/>
        <v>0</v>
      </c>
      <c r="CQ17" s="26">
        <f t="shared" si="91"/>
        <v>1210.7492932518219</v>
      </c>
      <c r="CR17" s="26">
        <f t="shared" si="91"/>
        <v>0</v>
      </c>
      <c r="CS17" s="26">
        <f t="shared" si="91"/>
        <v>0</v>
      </c>
      <c r="CT17" s="26">
        <f t="shared" si="91"/>
        <v>1210.7492932518219</v>
      </c>
      <c r="CU17" s="26">
        <f t="shared" si="91"/>
        <v>0</v>
      </c>
      <c r="CV17" s="16" t="s">
        <v>103</v>
      </c>
    </row>
    <row r="18" spans="1:100" ht="63" x14ac:dyDescent="0.25">
      <c r="A18" s="25" t="s">
        <v>156</v>
      </c>
      <c r="B18" s="25" t="s">
        <v>157</v>
      </c>
      <c r="C18" s="25" t="s">
        <v>112</v>
      </c>
      <c r="D18" s="26">
        <f t="shared" ref="D18:S18" si="92">SUM(D138)</f>
        <v>0</v>
      </c>
      <c r="E18" s="26">
        <f t="shared" si="92"/>
        <v>0</v>
      </c>
      <c r="F18" s="26">
        <f t="shared" si="92"/>
        <v>0</v>
      </c>
      <c r="G18" s="26">
        <v>0</v>
      </c>
      <c r="H18" s="26">
        <f t="shared" si="92"/>
        <v>0</v>
      </c>
      <c r="I18" s="26">
        <f t="shared" si="92"/>
        <v>0</v>
      </c>
      <c r="J18" s="26">
        <f t="shared" si="92"/>
        <v>0</v>
      </c>
      <c r="K18" s="26">
        <f t="shared" si="92"/>
        <v>0</v>
      </c>
      <c r="L18" s="26">
        <f t="shared" si="92"/>
        <v>0</v>
      </c>
      <c r="M18" s="26">
        <f t="shared" si="92"/>
        <v>0</v>
      </c>
      <c r="N18" s="26">
        <f t="shared" si="92"/>
        <v>0</v>
      </c>
      <c r="O18" s="26">
        <f t="shared" si="92"/>
        <v>0</v>
      </c>
      <c r="P18" s="26">
        <f t="shared" si="92"/>
        <v>0</v>
      </c>
      <c r="Q18" s="26">
        <f t="shared" si="92"/>
        <v>0</v>
      </c>
      <c r="R18" s="26">
        <f t="shared" si="92"/>
        <v>0</v>
      </c>
      <c r="S18" s="26">
        <f t="shared" si="92"/>
        <v>0</v>
      </c>
      <c r="T18" s="26">
        <v>0</v>
      </c>
      <c r="U18" s="26">
        <v>0</v>
      </c>
      <c r="V18" s="26">
        <v>0</v>
      </c>
      <c r="W18" s="26">
        <v>0</v>
      </c>
      <c r="X18" s="26">
        <v>0</v>
      </c>
      <c r="Y18" s="26">
        <v>0</v>
      </c>
      <c r="Z18" s="26">
        <v>0</v>
      </c>
      <c r="AA18" s="26">
        <v>0</v>
      </c>
      <c r="AB18" s="26">
        <v>0</v>
      </c>
      <c r="AC18" s="26">
        <v>0</v>
      </c>
      <c r="AD18" s="26">
        <v>0</v>
      </c>
      <c r="AE18" s="26">
        <v>0</v>
      </c>
      <c r="AF18" s="26">
        <v>0</v>
      </c>
      <c r="AG18" s="26">
        <v>0</v>
      </c>
      <c r="AH18" s="26">
        <v>0</v>
      </c>
      <c r="AI18" s="26">
        <v>0</v>
      </c>
      <c r="AJ18" s="26">
        <v>0</v>
      </c>
      <c r="AK18" s="26">
        <v>0</v>
      </c>
      <c r="AL18" s="26">
        <v>0</v>
      </c>
      <c r="AM18" s="26">
        <v>0</v>
      </c>
      <c r="AN18" s="26">
        <v>0</v>
      </c>
      <c r="AO18" s="26">
        <v>0</v>
      </c>
      <c r="AP18" s="26">
        <v>0</v>
      </c>
      <c r="AQ18" s="26">
        <v>0</v>
      </c>
      <c r="AR18" s="26">
        <v>0</v>
      </c>
      <c r="AS18" s="26">
        <v>0</v>
      </c>
      <c r="AT18" s="26">
        <v>0</v>
      </c>
      <c r="AU18" s="26">
        <v>0</v>
      </c>
      <c r="AV18" s="26">
        <v>0</v>
      </c>
      <c r="AW18" s="26">
        <v>0</v>
      </c>
      <c r="AX18" s="26">
        <v>0</v>
      </c>
      <c r="AY18" s="26">
        <v>0</v>
      </c>
      <c r="AZ18" s="26">
        <v>0</v>
      </c>
      <c r="BA18" s="26">
        <v>0</v>
      </c>
      <c r="BB18" s="26">
        <v>0</v>
      </c>
      <c r="BC18" s="26">
        <v>0</v>
      </c>
      <c r="BD18" s="26">
        <v>0</v>
      </c>
      <c r="BE18" s="26">
        <v>0</v>
      </c>
      <c r="BF18" s="26">
        <v>0</v>
      </c>
      <c r="BG18" s="26">
        <v>0</v>
      </c>
      <c r="BH18" s="26">
        <v>0</v>
      </c>
      <c r="BI18" s="26">
        <v>0</v>
      </c>
      <c r="BJ18" s="26">
        <v>0</v>
      </c>
      <c r="BK18" s="26">
        <v>0</v>
      </c>
      <c r="BL18" s="26">
        <v>0</v>
      </c>
      <c r="BM18" s="26">
        <v>0</v>
      </c>
      <c r="BN18" s="26">
        <v>0</v>
      </c>
      <c r="BO18" s="26">
        <v>0</v>
      </c>
      <c r="BP18" s="26">
        <v>0</v>
      </c>
      <c r="BQ18" s="26">
        <v>0</v>
      </c>
      <c r="BR18" s="26">
        <v>0</v>
      </c>
      <c r="BS18" s="26">
        <v>0</v>
      </c>
      <c r="BT18" s="26">
        <v>0</v>
      </c>
      <c r="BU18" s="26">
        <v>0</v>
      </c>
      <c r="BV18" s="26">
        <v>0</v>
      </c>
      <c r="BW18" s="26">
        <v>0</v>
      </c>
      <c r="BX18" s="26">
        <v>0</v>
      </c>
      <c r="BY18" s="26">
        <v>0</v>
      </c>
      <c r="BZ18" s="26">
        <v>0</v>
      </c>
      <c r="CA18" s="26">
        <v>0</v>
      </c>
      <c r="CB18" s="26">
        <v>0</v>
      </c>
      <c r="CC18" s="26">
        <v>0</v>
      </c>
      <c r="CD18" s="26">
        <v>0</v>
      </c>
      <c r="CE18" s="26">
        <v>0</v>
      </c>
      <c r="CF18" s="26">
        <v>0</v>
      </c>
      <c r="CG18" s="26">
        <v>0</v>
      </c>
      <c r="CH18" s="26">
        <v>0</v>
      </c>
      <c r="CI18" s="26">
        <v>0</v>
      </c>
      <c r="CJ18" s="26">
        <v>0</v>
      </c>
      <c r="CK18" s="26">
        <v>0</v>
      </c>
      <c r="CL18" s="26">
        <v>0</v>
      </c>
      <c r="CM18" s="26">
        <v>0</v>
      </c>
      <c r="CN18" s="26">
        <v>0</v>
      </c>
      <c r="CO18" s="26">
        <v>0</v>
      </c>
      <c r="CP18" s="26">
        <v>0</v>
      </c>
      <c r="CQ18" s="26">
        <v>0</v>
      </c>
      <c r="CR18" s="26">
        <v>0</v>
      </c>
      <c r="CS18" s="26">
        <v>0</v>
      </c>
      <c r="CT18" s="26">
        <v>0</v>
      </c>
      <c r="CU18" s="26">
        <v>0</v>
      </c>
      <c r="CV18" s="16" t="s">
        <v>103</v>
      </c>
    </row>
    <row r="19" spans="1:100" ht="31.5" x14ac:dyDescent="0.25">
      <c r="A19" s="25" t="s">
        <v>158</v>
      </c>
      <c r="B19" s="25" t="s">
        <v>159</v>
      </c>
      <c r="C19" s="25" t="s">
        <v>112</v>
      </c>
      <c r="D19" s="26">
        <f t="shared" ref="D19:S21" si="93">SUM(D141)</f>
        <v>0</v>
      </c>
      <c r="E19" s="26">
        <f t="shared" si="93"/>
        <v>0</v>
      </c>
      <c r="F19" s="26">
        <f t="shared" si="93"/>
        <v>0</v>
      </c>
      <c r="G19" s="26">
        <v>0</v>
      </c>
      <c r="H19" s="26">
        <f t="shared" si="93"/>
        <v>0</v>
      </c>
      <c r="I19" s="26">
        <f t="shared" si="93"/>
        <v>0</v>
      </c>
      <c r="J19" s="26">
        <f t="shared" si="93"/>
        <v>0</v>
      </c>
      <c r="K19" s="26">
        <f t="shared" si="93"/>
        <v>0</v>
      </c>
      <c r="L19" s="26">
        <f t="shared" si="93"/>
        <v>0</v>
      </c>
      <c r="M19" s="26">
        <f t="shared" si="93"/>
        <v>0</v>
      </c>
      <c r="N19" s="26">
        <f t="shared" si="93"/>
        <v>0</v>
      </c>
      <c r="O19" s="26">
        <f t="shared" si="93"/>
        <v>0</v>
      </c>
      <c r="P19" s="26">
        <f t="shared" si="93"/>
        <v>0</v>
      </c>
      <c r="Q19" s="26">
        <f t="shared" si="93"/>
        <v>0</v>
      </c>
      <c r="R19" s="26">
        <f t="shared" si="93"/>
        <v>0</v>
      </c>
      <c r="S19" s="26">
        <f t="shared" si="93"/>
        <v>0</v>
      </c>
      <c r="T19" s="26">
        <v>0</v>
      </c>
      <c r="U19" s="26">
        <v>0</v>
      </c>
      <c r="V19" s="26">
        <v>0</v>
      </c>
      <c r="W19" s="26">
        <v>0</v>
      </c>
      <c r="X19" s="26">
        <v>0</v>
      </c>
      <c r="Y19" s="26">
        <v>0</v>
      </c>
      <c r="Z19" s="26">
        <v>0</v>
      </c>
      <c r="AA19" s="26">
        <v>0</v>
      </c>
      <c r="AB19" s="26">
        <v>0</v>
      </c>
      <c r="AC19" s="26">
        <v>0</v>
      </c>
      <c r="AD19" s="26">
        <v>0</v>
      </c>
      <c r="AE19" s="26">
        <v>0</v>
      </c>
      <c r="AF19" s="26">
        <v>0</v>
      </c>
      <c r="AG19" s="26">
        <v>0</v>
      </c>
      <c r="AH19" s="26">
        <v>0</v>
      </c>
      <c r="AI19" s="26">
        <v>0</v>
      </c>
      <c r="AJ19" s="26">
        <v>0</v>
      </c>
      <c r="AK19" s="26">
        <v>0</v>
      </c>
      <c r="AL19" s="26">
        <v>0</v>
      </c>
      <c r="AM19" s="26">
        <v>0</v>
      </c>
      <c r="AN19" s="26">
        <v>0</v>
      </c>
      <c r="AO19" s="26">
        <v>0</v>
      </c>
      <c r="AP19" s="26">
        <v>0</v>
      </c>
      <c r="AQ19" s="26">
        <v>0</v>
      </c>
      <c r="AR19" s="26">
        <v>0</v>
      </c>
      <c r="AS19" s="26">
        <v>0</v>
      </c>
      <c r="AT19" s="26">
        <v>0</v>
      </c>
      <c r="AU19" s="26">
        <v>0</v>
      </c>
      <c r="AV19" s="26">
        <v>0</v>
      </c>
      <c r="AW19" s="26">
        <v>0</v>
      </c>
      <c r="AX19" s="26">
        <v>0</v>
      </c>
      <c r="AY19" s="26">
        <v>0</v>
      </c>
      <c r="AZ19" s="26">
        <v>0</v>
      </c>
      <c r="BA19" s="26">
        <v>0</v>
      </c>
      <c r="BB19" s="26">
        <v>0</v>
      </c>
      <c r="BC19" s="26">
        <v>0</v>
      </c>
      <c r="BD19" s="26">
        <v>0</v>
      </c>
      <c r="BE19" s="26">
        <v>0</v>
      </c>
      <c r="BF19" s="26">
        <v>0</v>
      </c>
      <c r="BG19" s="26">
        <v>0</v>
      </c>
      <c r="BH19" s="26">
        <v>0</v>
      </c>
      <c r="BI19" s="26">
        <v>0</v>
      </c>
      <c r="BJ19" s="26">
        <v>0</v>
      </c>
      <c r="BK19" s="26">
        <v>0</v>
      </c>
      <c r="BL19" s="26">
        <v>0</v>
      </c>
      <c r="BM19" s="26">
        <v>0</v>
      </c>
      <c r="BN19" s="26">
        <v>0</v>
      </c>
      <c r="BO19" s="26">
        <v>0</v>
      </c>
      <c r="BP19" s="26">
        <v>0</v>
      </c>
      <c r="BQ19" s="26">
        <v>0</v>
      </c>
      <c r="BR19" s="26">
        <v>0</v>
      </c>
      <c r="BS19" s="26">
        <v>0</v>
      </c>
      <c r="BT19" s="26">
        <v>0</v>
      </c>
      <c r="BU19" s="26">
        <v>0</v>
      </c>
      <c r="BV19" s="26">
        <v>0</v>
      </c>
      <c r="BW19" s="26">
        <v>0</v>
      </c>
      <c r="BX19" s="26">
        <v>0</v>
      </c>
      <c r="BY19" s="26">
        <v>0</v>
      </c>
      <c r="BZ19" s="26">
        <v>0</v>
      </c>
      <c r="CA19" s="26">
        <v>0</v>
      </c>
      <c r="CB19" s="26">
        <v>0</v>
      </c>
      <c r="CC19" s="26">
        <v>0</v>
      </c>
      <c r="CD19" s="26">
        <v>0</v>
      </c>
      <c r="CE19" s="26">
        <v>0</v>
      </c>
      <c r="CF19" s="26">
        <v>0</v>
      </c>
      <c r="CG19" s="26">
        <v>0</v>
      </c>
      <c r="CH19" s="26">
        <v>0</v>
      </c>
      <c r="CI19" s="26">
        <v>0</v>
      </c>
      <c r="CJ19" s="26">
        <v>0</v>
      </c>
      <c r="CK19" s="26">
        <v>0</v>
      </c>
      <c r="CL19" s="26">
        <v>0</v>
      </c>
      <c r="CM19" s="26">
        <v>0</v>
      </c>
      <c r="CN19" s="26">
        <v>0</v>
      </c>
      <c r="CO19" s="26">
        <v>0</v>
      </c>
      <c r="CP19" s="26">
        <v>0</v>
      </c>
      <c r="CQ19" s="26">
        <v>0</v>
      </c>
      <c r="CR19" s="26">
        <v>0</v>
      </c>
      <c r="CS19" s="26">
        <v>0</v>
      </c>
      <c r="CT19" s="26">
        <v>0</v>
      </c>
      <c r="CU19" s="26">
        <v>0</v>
      </c>
      <c r="CV19" s="16" t="s">
        <v>103</v>
      </c>
    </row>
    <row r="20" spans="1:100" ht="47.25" x14ac:dyDescent="0.25">
      <c r="A20" s="25" t="s">
        <v>160</v>
      </c>
      <c r="B20" s="25" t="s">
        <v>161</v>
      </c>
      <c r="C20" s="25" t="s">
        <v>112</v>
      </c>
      <c r="D20" s="26">
        <f t="shared" si="93"/>
        <v>0</v>
      </c>
      <c r="E20" s="26">
        <f t="shared" si="93"/>
        <v>0</v>
      </c>
      <c r="F20" s="26">
        <f t="shared" si="93"/>
        <v>0</v>
      </c>
      <c r="G20" s="26">
        <v>0</v>
      </c>
      <c r="H20" s="26">
        <f t="shared" si="93"/>
        <v>0</v>
      </c>
      <c r="I20" s="26">
        <f t="shared" si="93"/>
        <v>0</v>
      </c>
      <c r="J20" s="26">
        <f t="shared" si="93"/>
        <v>0</v>
      </c>
      <c r="K20" s="26">
        <f t="shared" si="93"/>
        <v>0</v>
      </c>
      <c r="L20" s="26">
        <f t="shared" si="93"/>
        <v>0</v>
      </c>
      <c r="M20" s="26">
        <f t="shared" si="93"/>
        <v>0</v>
      </c>
      <c r="N20" s="26">
        <f t="shared" si="93"/>
        <v>0</v>
      </c>
      <c r="O20" s="26">
        <f t="shared" si="93"/>
        <v>0</v>
      </c>
      <c r="P20" s="26">
        <f t="shared" si="93"/>
        <v>0</v>
      </c>
      <c r="Q20" s="26">
        <f t="shared" si="93"/>
        <v>0</v>
      </c>
      <c r="R20" s="26">
        <f t="shared" si="93"/>
        <v>0</v>
      </c>
      <c r="S20" s="26">
        <f t="shared" si="93"/>
        <v>0</v>
      </c>
      <c r="T20" s="26">
        <v>0</v>
      </c>
      <c r="U20" s="26">
        <v>0</v>
      </c>
      <c r="V20" s="26">
        <v>0</v>
      </c>
      <c r="W20" s="26">
        <v>0</v>
      </c>
      <c r="X20" s="26">
        <v>0</v>
      </c>
      <c r="Y20" s="26">
        <v>0</v>
      </c>
      <c r="Z20" s="26">
        <v>0</v>
      </c>
      <c r="AA20" s="26">
        <v>0</v>
      </c>
      <c r="AB20" s="26">
        <v>0</v>
      </c>
      <c r="AC20" s="26">
        <v>0</v>
      </c>
      <c r="AD20" s="26">
        <v>0</v>
      </c>
      <c r="AE20" s="26">
        <v>0</v>
      </c>
      <c r="AF20" s="26">
        <v>0</v>
      </c>
      <c r="AG20" s="26">
        <v>0</v>
      </c>
      <c r="AH20" s="26">
        <v>0</v>
      </c>
      <c r="AI20" s="26">
        <v>0</v>
      </c>
      <c r="AJ20" s="26">
        <v>0</v>
      </c>
      <c r="AK20" s="26">
        <v>0</v>
      </c>
      <c r="AL20" s="26">
        <v>0</v>
      </c>
      <c r="AM20" s="26">
        <v>0</v>
      </c>
      <c r="AN20" s="26">
        <v>0</v>
      </c>
      <c r="AO20" s="26">
        <v>0</v>
      </c>
      <c r="AP20" s="26">
        <v>0</v>
      </c>
      <c r="AQ20" s="26">
        <v>0</v>
      </c>
      <c r="AR20" s="26">
        <v>0</v>
      </c>
      <c r="AS20" s="26">
        <v>0</v>
      </c>
      <c r="AT20" s="26">
        <v>0</v>
      </c>
      <c r="AU20" s="26">
        <v>0</v>
      </c>
      <c r="AV20" s="26">
        <v>0</v>
      </c>
      <c r="AW20" s="26">
        <v>0</v>
      </c>
      <c r="AX20" s="26">
        <v>0</v>
      </c>
      <c r="AY20" s="26">
        <v>0</v>
      </c>
      <c r="AZ20" s="26">
        <v>0</v>
      </c>
      <c r="BA20" s="26">
        <v>0</v>
      </c>
      <c r="BB20" s="26">
        <v>0</v>
      </c>
      <c r="BC20" s="26">
        <v>0</v>
      </c>
      <c r="BD20" s="26">
        <v>0</v>
      </c>
      <c r="BE20" s="26">
        <v>0</v>
      </c>
      <c r="BF20" s="26">
        <v>0</v>
      </c>
      <c r="BG20" s="26">
        <v>0</v>
      </c>
      <c r="BH20" s="26">
        <v>0</v>
      </c>
      <c r="BI20" s="26">
        <v>0</v>
      </c>
      <c r="BJ20" s="26">
        <v>0</v>
      </c>
      <c r="BK20" s="26">
        <v>0</v>
      </c>
      <c r="BL20" s="26">
        <v>0</v>
      </c>
      <c r="BM20" s="26">
        <v>0</v>
      </c>
      <c r="BN20" s="26">
        <v>0</v>
      </c>
      <c r="BO20" s="26">
        <v>0</v>
      </c>
      <c r="BP20" s="26">
        <v>0</v>
      </c>
      <c r="BQ20" s="26">
        <v>0</v>
      </c>
      <c r="BR20" s="26">
        <v>0</v>
      </c>
      <c r="BS20" s="26">
        <v>0</v>
      </c>
      <c r="BT20" s="26">
        <v>0</v>
      </c>
      <c r="BU20" s="26">
        <v>0</v>
      </c>
      <c r="BV20" s="26">
        <v>0</v>
      </c>
      <c r="BW20" s="26">
        <v>0</v>
      </c>
      <c r="BX20" s="26">
        <v>0</v>
      </c>
      <c r="BY20" s="26">
        <v>0</v>
      </c>
      <c r="BZ20" s="26">
        <v>0</v>
      </c>
      <c r="CA20" s="26">
        <v>0</v>
      </c>
      <c r="CB20" s="26">
        <v>0</v>
      </c>
      <c r="CC20" s="26">
        <v>0</v>
      </c>
      <c r="CD20" s="26">
        <v>0</v>
      </c>
      <c r="CE20" s="26">
        <v>0</v>
      </c>
      <c r="CF20" s="26">
        <v>0</v>
      </c>
      <c r="CG20" s="26">
        <v>0</v>
      </c>
      <c r="CH20" s="26">
        <v>0</v>
      </c>
      <c r="CI20" s="26">
        <v>0</v>
      </c>
      <c r="CJ20" s="26">
        <v>0</v>
      </c>
      <c r="CK20" s="26">
        <v>0</v>
      </c>
      <c r="CL20" s="26">
        <v>0</v>
      </c>
      <c r="CM20" s="26">
        <v>0</v>
      </c>
      <c r="CN20" s="26">
        <v>0</v>
      </c>
      <c r="CO20" s="26">
        <v>0</v>
      </c>
      <c r="CP20" s="26">
        <v>0</v>
      </c>
      <c r="CQ20" s="26">
        <v>0</v>
      </c>
      <c r="CR20" s="26">
        <v>0</v>
      </c>
      <c r="CS20" s="26">
        <v>0</v>
      </c>
      <c r="CT20" s="26">
        <v>0</v>
      </c>
      <c r="CU20" s="26">
        <v>0</v>
      </c>
      <c r="CV20" s="16" t="s">
        <v>103</v>
      </c>
    </row>
    <row r="21" spans="1:100" x14ac:dyDescent="0.25">
      <c r="A21" s="25" t="s">
        <v>162</v>
      </c>
      <c r="B21" s="25" t="s">
        <v>163</v>
      </c>
      <c r="C21" s="25" t="s">
        <v>112</v>
      </c>
      <c r="D21" s="26">
        <f t="shared" si="93"/>
        <v>0</v>
      </c>
      <c r="E21" s="26">
        <f t="shared" si="93"/>
        <v>0</v>
      </c>
      <c r="F21" s="26">
        <f t="shared" si="93"/>
        <v>0</v>
      </c>
      <c r="G21" s="26">
        <f t="shared" si="93"/>
        <v>0</v>
      </c>
      <c r="H21" s="26">
        <f t="shared" ref="H21:AT21" si="94">H110</f>
        <v>4.6111840000000001E-2</v>
      </c>
      <c r="I21" s="26">
        <f t="shared" si="94"/>
        <v>11.355730830000001</v>
      </c>
      <c r="J21" s="26">
        <f t="shared" si="94"/>
        <v>0</v>
      </c>
      <c r="K21" s="26">
        <f t="shared" si="94"/>
        <v>4.6111840000000001E-2</v>
      </c>
      <c r="L21" s="26">
        <f t="shared" si="94"/>
        <v>17.912438498820148</v>
      </c>
      <c r="M21" s="26">
        <f t="shared" si="94"/>
        <v>0</v>
      </c>
      <c r="N21" s="26">
        <f t="shared" si="94"/>
        <v>0</v>
      </c>
      <c r="O21" s="26">
        <f t="shared" si="94"/>
        <v>0</v>
      </c>
      <c r="P21" s="26">
        <f t="shared" si="94"/>
        <v>0</v>
      </c>
      <c r="Q21" s="26">
        <f t="shared" si="94"/>
        <v>0</v>
      </c>
      <c r="R21" s="26">
        <f t="shared" si="94"/>
        <v>0</v>
      </c>
      <c r="S21" s="26">
        <f t="shared" si="94"/>
        <v>0</v>
      </c>
      <c r="T21" s="26">
        <f t="shared" si="94"/>
        <v>13.275545094132001</v>
      </c>
      <c r="U21" s="26">
        <f t="shared" si="94"/>
        <v>20.088912499626481</v>
      </c>
      <c r="V21" s="26">
        <f>T21</f>
        <v>13.275545094132001</v>
      </c>
      <c r="W21" s="26">
        <f>T21-Y21-AD21</f>
        <v>7.0069543680000006</v>
      </c>
      <c r="X21" s="26">
        <f t="shared" si="94"/>
        <v>14.942820582666481</v>
      </c>
      <c r="Y21" s="26">
        <f t="shared" si="94"/>
        <v>0</v>
      </c>
      <c r="Z21" s="26">
        <f t="shared" si="94"/>
        <v>0</v>
      </c>
      <c r="AA21" s="26">
        <f t="shared" si="94"/>
        <v>0</v>
      </c>
      <c r="AB21" s="26">
        <f t="shared" si="94"/>
        <v>0</v>
      </c>
      <c r="AC21" s="26">
        <f t="shared" si="94"/>
        <v>0</v>
      </c>
      <c r="AD21" s="26">
        <f t="shared" si="94"/>
        <v>6.2685907261320004</v>
      </c>
      <c r="AE21" s="26">
        <f t="shared" si="94"/>
        <v>0</v>
      </c>
      <c r="AF21" s="26">
        <f t="shared" si="94"/>
        <v>0</v>
      </c>
      <c r="AG21" s="26">
        <f t="shared" si="94"/>
        <v>6.2685907261320004</v>
      </c>
      <c r="AH21" s="26">
        <f t="shared" si="94"/>
        <v>0</v>
      </c>
      <c r="AI21" s="26">
        <f t="shared" si="94"/>
        <v>5.1460919169600006</v>
      </c>
      <c r="AJ21" s="26">
        <f t="shared" si="94"/>
        <v>0</v>
      </c>
      <c r="AK21" s="26">
        <f t="shared" si="94"/>
        <v>0</v>
      </c>
      <c r="AL21" s="26">
        <f t="shared" si="94"/>
        <v>5.1460919169600006</v>
      </c>
      <c r="AM21" s="26">
        <f t="shared" si="94"/>
        <v>0</v>
      </c>
      <c r="AN21" s="26">
        <f t="shared" si="94"/>
        <v>0.23927039999999999</v>
      </c>
      <c r="AO21" s="26">
        <f t="shared" si="94"/>
        <v>0</v>
      </c>
      <c r="AP21" s="26">
        <f t="shared" si="94"/>
        <v>0</v>
      </c>
      <c r="AQ21" s="26">
        <f t="shared" si="94"/>
        <v>0.23927039999999999</v>
      </c>
      <c r="AR21" s="26">
        <f t="shared" si="94"/>
        <v>0</v>
      </c>
      <c r="AS21" s="26">
        <f t="shared" si="94"/>
        <v>4.5829239851399999</v>
      </c>
      <c r="AT21" s="26">
        <f t="shared" si="94"/>
        <v>0</v>
      </c>
      <c r="AU21" s="26">
        <f t="shared" ref="AU21:CK21" si="95">AU110</f>
        <v>0</v>
      </c>
      <c r="AV21" s="26">
        <f t="shared" si="95"/>
        <v>4.5829239851399999</v>
      </c>
      <c r="AW21" s="26">
        <f t="shared" si="95"/>
        <v>0</v>
      </c>
      <c r="AX21" s="26">
        <f t="shared" si="95"/>
        <v>0</v>
      </c>
      <c r="AY21" s="26">
        <f t="shared" si="95"/>
        <v>0</v>
      </c>
      <c r="AZ21" s="26">
        <f t="shared" si="95"/>
        <v>0</v>
      </c>
      <c r="BA21" s="26">
        <f t="shared" si="95"/>
        <v>0</v>
      </c>
      <c r="BB21" s="26">
        <f t="shared" si="95"/>
        <v>0</v>
      </c>
      <c r="BC21" s="26">
        <f t="shared" si="95"/>
        <v>3.5922126295264798</v>
      </c>
      <c r="BD21" s="26">
        <f t="shared" si="95"/>
        <v>0</v>
      </c>
      <c r="BE21" s="26">
        <f t="shared" si="95"/>
        <v>0</v>
      </c>
      <c r="BF21" s="26">
        <f t="shared" si="95"/>
        <v>3.5922126295264798</v>
      </c>
      <c r="BG21" s="26">
        <f t="shared" si="95"/>
        <v>0</v>
      </c>
      <c r="BH21" s="26">
        <f t="shared" si="95"/>
        <v>0</v>
      </c>
      <c r="BI21" s="26">
        <f t="shared" si="95"/>
        <v>0</v>
      </c>
      <c r="BJ21" s="26">
        <f t="shared" si="95"/>
        <v>0</v>
      </c>
      <c r="BK21" s="26">
        <f t="shared" si="95"/>
        <v>0</v>
      </c>
      <c r="BL21" s="26">
        <f t="shared" si="95"/>
        <v>0</v>
      </c>
      <c r="BM21" s="26">
        <f t="shared" si="95"/>
        <v>0</v>
      </c>
      <c r="BN21" s="26">
        <f t="shared" si="95"/>
        <v>0</v>
      </c>
      <c r="BO21" s="26">
        <f t="shared" si="95"/>
        <v>0</v>
      </c>
      <c r="BP21" s="26">
        <f t="shared" si="95"/>
        <v>0</v>
      </c>
      <c r="BQ21" s="26">
        <f t="shared" si="95"/>
        <v>0</v>
      </c>
      <c r="BR21" s="26">
        <f t="shared" si="95"/>
        <v>0</v>
      </c>
      <c r="BS21" s="26">
        <f t="shared" si="95"/>
        <v>0</v>
      </c>
      <c r="BT21" s="26">
        <f t="shared" si="95"/>
        <v>0</v>
      </c>
      <c r="BU21" s="26">
        <f t="shared" si="95"/>
        <v>0</v>
      </c>
      <c r="BV21" s="26">
        <f t="shared" si="95"/>
        <v>0</v>
      </c>
      <c r="BW21" s="26">
        <f t="shared" si="95"/>
        <v>0</v>
      </c>
      <c r="BX21" s="26">
        <f t="shared" si="95"/>
        <v>0</v>
      </c>
      <c r="BY21" s="26">
        <f t="shared" si="95"/>
        <v>0</v>
      </c>
      <c r="BZ21" s="26">
        <f t="shared" si="95"/>
        <v>0</v>
      </c>
      <c r="CA21" s="26">
        <f t="shared" si="95"/>
        <v>0</v>
      </c>
      <c r="CB21" s="26">
        <f t="shared" si="95"/>
        <v>6.767683968</v>
      </c>
      <c r="CC21" s="26">
        <f t="shared" si="95"/>
        <v>0</v>
      </c>
      <c r="CD21" s="26">
        <f t="shared" si="95"/>
        <v>0</v>
      </c>
      <c r="CE21" s="26">
        <f t="shared" si="95"/>
        <v>6.767683968</v>
      </c>
      <c r="CF21" s="26">
        <f t="shared" si="95"/>
        <v>0</v>
      </c>
      <c r="CG21" s="26">
        <f t="shared" si="95"/>
        <v>6.767683968</v>
      </c>
      <c r="CH21" s="26">
        <f t="shared" si="95"/>
        <v>0</v>
      </c>
      <c r="CI21" s="26">
        <f t="shared" si="95"/>
        <v>0</v>
      </c>
      <c r="CJ21" s="26">
        <f t="shared" si="95"/>
        <v>6.767683968</v>
      </c>
      <c r="CK21" s="26">
        <f t="shared" si="95"/>
        <v>0</v>
      </c>
      <c r="CL21" s="26">
        <v>13.275545094132001</v>
      </c>
      <c r="CM21" s="26">
        <f t="shared" ref="CM21:CU21" si="96">CM110</f>
        <v>0</v>
      </c>
      <c r="CN21" s="26">
        <f t="shared" si="96"/>
        <v>0</v>
      </c>
      <c r="CO21" s="26">
        <f t="shared" si="96"/>
        <v>13.275545094132001</v>
      </c>
      <c r="CP21" s="26">
        <f t="shared" si="96"/>
        <v>0</v>
      </c>
      <c r="CQ21" s="26">
        <f t="shared" si="96"/>
        <v>20.088912499626481</v>
      </c>
      <c r="CR21" s="26">
        <f t="shared" si="96"/>
        <v>0</v>
      </c>
      <c r="CS21" s="26">
        <f t="shared" si="96"/>
        <v>0</v>
      </c>
      <c r="CT21" s="26">
        <f t="shared" si="96"/>
        <v>20.088912499626481</v>
      </c>
      <c r="CU21" s="26">
        <f t="shared" si="96"/>
        <v>0</v>
      </c>
      <c r="CV21" s="16" t="s">
        <v>103</v>
      </c>
    </row>
    <row r="22" spans="1:100" x14ac:dyDescent="0.25">
      <c r="A22" s="25"/>
      <c r="B22" s="25"/>
      <c r="C22" s="27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28"/>
      <c r="BA22" s="28"/>
      <c r="BB22" s="28"/>
      <c r="BC22" s="28"/>
      <c r="BD22" s="28"/>
      <c r="BE22" s="28"/>
      <c r="BF22" s="28"/>
      <c r="BG22" s="28"/>
      <c r="BH22" s="28"/>
      <c r="BI22" s="28"/>
      <c r="BJ22" s="28"/>
      <c r="BK22" s="28"/>
      <c r="BL22" s="28"/>
      <c r="BM22" s="28"/>
      <c r="BN22" s="28"/>
      <c r="BO22" s="28"/>
      <c r="BP22" s="28"/>
      <c r="BQ22" s="28"/>
      <c r="BR22" s="28"/>
      <c r="BS22" s="28"/>
      <c r="BT22" s="28"/>
      <c r="BU22" s="28"/>
      <c r="BV22" s="28"/>
      <c r="BW22" s="28"/>
      <c r="BX22" s="28"/>
      <c r="BY22" s="28"/>
      <c r="BZ22" s="28"/>
      <c r="CA22" s="28"/>
      <c r="CB22" s="28"/>
      <c r="CC22" s="28"/>
      <c r="CD22" s="28"/>
      <c r="CE22" s="28"/>
      <c r="CF22" s="28"/>
      <c r="CG22" s="28"/>
      <c r="CH22" s="28"/>
      <c r="CI22" s="28"/>
      <c r="CJ22" s="28"/>
      <c r="CK22" s="28"/>
      <c r="CL22" s="28"/>
      <c r="CM22" s="28"/>
      <c r="CN22" s="28"/>
      <c r="CO22" s="28"/>
      <c r="CP22" s="28"/>
      <c r="CQ22" s="28"/>
      <c r="CR22" s="28"/>
      <c r="CS22" s="28"/>
      <c r="CT22" s="28"/>
      <c r="CU22" s="28"/>
      <c r="CV22" s="16" t="s">
        <v>103</v>
      </c>
    </row>
    <row r="23" spans="1:100" s="7" customFormat="1" x14ac:dyDescent="0.25">
      <c r="A23" s="12" t="s">
        <v>21</v>
      </c>
      <c r="B23" s="13" t="s">
        <v>109</v>
      </c>
      <c r="C23" s="14" t="s">
        <v>103</v>
      </c>
      <c r="D23" s="14" t="s">
        <v>103</v>
      </c>
      <c r="E23" s="14" t="s">
        <v>103</v>
      </c>
      <c r="F23" s="14" t="s">
        <v>103</v>
      </c>
      <c r="G23" s="14" t="s">
        <v>103</v>
      </c>
      <c r="H23" s="15">
        <f>H24+H50+H110</f>
        <v>136.55523068627622</v>
      </c>
      <c r="I23" s="15">
        <f>I24+I50+I110</f>
        <v>1045.3470707626823</v>
      </c>
      <c r="J23" s="15" t="s">
        <v>103</v>
      </c>
      <c r="K23" s="15" t="s">
        <v>103</v>
      </c>
      <c r="L23" s="15">
        <f>L24+L50+L110</f>
        <v>1114.3247185243024</v>
      </c>
      <c r="M23" s="15" t="s">
        <v>103</v>
      </c>
      <c r="N23" s="15">
        <f>N339</f>
        <v>0</v>
      </c>
      <c r="O23" s="15">
        <f>O24+O50+O110</f>
        <v>2.0511050879999999</v>
      </c>
      <c r="P23" s="15">
        <f>P24+P50+P110</f>
        <v>3583.7554072372809</v>
      </c>
      <c r="Q23" s="15">
        <f>Q24+Q50+Q110</f>
        <v>3959.4904206576457</v>
      </c>
      <c r="R23" s="15">
        <f t="shared" ref="R23:S23" si="97">R24+R50+R110</f>
        <v>3672.2516917341609</v>
      </c>
      <c r="S23" s="15">
        <f t="shared" si="97"/>
        <v>4441.9250759785391</v>
      </c>
      <c r="T23" s="15">
        <f t="shared" ref="T23:X23" si="98">T24+T50+T110</f>
        <v>1247.0364972081722</v>
      </c>
      <c r="U23" s="15">
        <f t="shared" si="98"/>
        <v>1304.7441834634485</v>
      </c>
      <c r="V23" s="26">
        <f t="shared" ref="V23:V25" si="99">T23</f>
        <v>1247.0364972081722</v>
      </c>
      <c r="W23" s="26">
        <f>T23-Y23-AD23</f>
        <v>1091.8592540461202</v>
      </c>
      <c r="X23" s="15">
        <f t="shared" si="98"/>
        <v>1140.7715693904881</v>
      </c>
      <c r="Y23" s="15">
        <f t="shared" ref="Y23:AX23" si="100">Y24+Y50+Y110</f>
        <v>3.4705392000000002</v>
      </c>
      <c r="Z23" s="15">
        <f t="shared" si="100"/>
        <v>0</v>
      </c>
      <c r="AA23" s="15">
        <f t="shared" si="100"/>
        <v>0</v>
      </c>
      <c r="AB23" s="15">
        <f t="shared" si="100"/>
        <v>3.4705392000000002</v>
      </c>
      <c r="AC23" s="15">
        <f t="shared" si="100"/>
        <v>0</v>
      </c>
      <c r="AD23" s="15">
        <f t="shared" si="100"/>
        <v>151.70670396205199</v>
      </c>
      <c r="AE23" s="15">
        <f t="shared" si="100"/>
        <v>0</v>
      </c>
      <c r="AF23" s="15">
        <f t="shared" si="100"/>
        <v>0</v>
      </c>
      <c r="AG23" s="15">
        <f t="shared" si="100"/>
        <v>126.33432396205198</v>
      </c>
      <c r="AH23" s="15">
        <f t="shared" si="100"/>
        <v>25.37238</v>
      </c>
      <c r="AI23" s="15">
        <f t="shared" si="100"/>
        <v>160.50207487296001</v>
      </c>
      <c r="AJ23" s="15">
        <f t="shared" si="100"/>
        <v>0</v>
      </c>
      <c r="AK23" s="15">
        <f t="shared" si="100"/>
        <v>0</v>
      </c>
      <c r="AL23" s="15">
        <f t="shared" si="100"/>
        <v>132.55472986896001</v>
      </c>
      <c r="AM23" s="15">
        <f t="shared" si="100"/>
        <v>27.947345003999999</v>
      </c>
      <c r="AN23" s="15">
        <f t="shared" si="100"/>
        <v>217.27407287610001</v>
      </c>
      <c r="AO23" s="15">
        <f t="shared" si="100"/>
        <v>0</v>
      </c>
      <c r="AP23" s="15">
        <f t="shared" si="100"/>
        <v>0</v>
      </c>
      <c r="AQ23" s="15">
        <f t="shared" si="100"/>
        <v>217.27407287610001</v>
      </c>
      <c r="AR23" s="15">
        <f t="shared" si="100"/>
        <v>0</v>
      </c>
      <c r="AS23" s="15">
        <f t="shared" si="100"/>
        <v>258.74540933189996</v>
      </c>
      <c r="AT23" s="15">
        <f t="shared" si="100"/>
        <v>0</v>
      </c>
      <c r="AU23" s="15">
        <f t="shared" si="100"/>
        <v>0</v>
      </c>
      <c r="AV23" s="15">
        <f t="shared" si="100"/>
        <v>216.2573158239</v>
      </c>
      <c r="AW23" s="15">
        <f t="shared" si="100"/>
        <v>42.488093507999999</v>
      </c>
      <c r="AX23" s="15">
        <f t="shared" si="100"/>
        <v>216.51044055852</v>
      </c>
      <c r="AY23" s="15">
        <f t="shared" ref="AY23:CN23" si="101">AY24+AY50+AY110</f>
        <v>0</v>
      </c>
      <c r="AZ23" s="15">
        <f t="shared" si="101"/>
        <v>0</v>
      </c>
      <c r="BA23" s="15">
        <f t="shared" si="101"/>
        <v>216.51044055852</v>
      </c>
      <c r="BB23" s="15">
        <f t="shared" si="101"/>
        <v>0</v>
      </c>
      <c r="BC23" s="15">
        <f t="shared" si="101"/>
        <v>226.00252453508813</v>
      </c>
      <c r="BD23" s="15">
        <f t="shared" si="101"/>
        <v>0</v>
      </c>
      <c r="BE23" s="15">
        <f t="shared" si="101"/>
        <v>0</v>
      </c>
      <c r="BF23" s="15">
        <f t="shared" si="101"/>
        <v>226.00252453508813</v>
      </c>
      <c r="BG23" s="15">
        <f t="shared" si="101"/>
        <v>0</v>
      </c>
      <c r="BH23" s="15">
        <f t="shared" si="101"/>
        <v>213.71655396450001</v>
      </c>
      <c r="BI23" s="15">
        <f t="shared" si="101"/>
        <v>0</v>
      </c>
      <c r="BJ23" s="15">
        <f t="shared" si="101"/>
        <v>0</v>
      </c>
      <c r="BK23" s="15">
        <f t="shared" si="101"/>
        <v>213.71655396450001</v>
      </c>
      <c r="BL23" s="15">
        <f t="shared" si="101"/>
        <v>0</v>
      </c>
      <c r="BM23" s="15">
        <f t="shared" si="101"/>
        <v>213.71655396450001</v>
      </c>
      <c r="BN23" s="15">
        <f t="shared" si="101"/>
        <v>0</v>
      </c>
      <c r="BO23" s="15">
        <f t="shared" si="101"/>
        <v>0</v>
      </c>
      <c r="BP23" s="15">
        <f t="shared" si="101"/>
        <v>213.71655396450001</v>
      </c>
      <c r="BQ23" s="15">
        <f t="shared" si="101"/>
        <v>0</v>
      </c>
      <c r="BR23" s="15">
        <f t="shared" si="101"/>
        <v>220.46851981367999</v>
      </c>
      <c r="BS23" s="15">
        <f t="shared" si="101"/>
        <v>0</v>
      </c>
      <c r="BT23" s="15">
        <f t="shared" si="101"/>
        <v>0</v>
      </c>
      <c r="BU23" s="15">
        <f t="shared" si="101"/>
        <v>220.46851981367999</v>
      </c>
      <c r="BV23" s="15">
        <f t="shared" si="101"/>
        <v>0</v>
      </c>
      <c r="BW23" s="15">
        <f t="shared" si="101"/>
        <v>220.46851981367999</v>
      </c>
      <c r="BX23" s="15">
        <f t="shared" si="101"/>
        <v>0</v>
      </c>
      <c r="BY23" s="15">
        <f t="shared" si="101"/>
        <v>0</v>
      </c>
      <c r="BZ23" s="15">
        <f t="shared" si="101"/>
        <v>220.46851981367999</v>
      </c>
      <c r="CA23" s="15">
        <f t="shared" si="101"/>
        <v>0</v>
      </c>
      <c r="CB23" s="15">
        <f t="shared" si="101"/>
        <v>221.83856174531999</v>
      </c>
      <c r="CC23" s="15">
        <f t="shared" si="101"/>
        <v>0</v>
      </c>
      <c r="CD23" s="15">
        <f t="shared" si="101"/>
        <v>0</v>
      </c>
      <c r="CE23" s="15">
        <f t="shared" si="101"/>
        <v>221.83856174531999</v>
      </c>
      <c r="CF23" s="15">
        <f t="shared" si="101"/>
        <v>0</v>
      </c>
      <c r="CG23" s="15">
        <f t="shared" si="101"/>
        <v>221.83856174531999</v>
      </c>
      <c r="CH23" s="15">
        <f t="shared" si="101"/>
        <v>0</v>
      </c>
      <c r="CI23" s="15">
        <f t="shared" si="101"/>
        <v>0</v>
      </c>
      <c r="CJ23" s="15">
        <f t="shared" si="101"/>
        <v>221.83856174531999</v>
      </c>
      <c r="CK23" s="15">
        <f t="shared" si="101"/>
        <v>0</v>
      </c>
      <c r="CL23" s="15">
        <v>1241.5148529201724</v>
      </c>
      <c r="CM23" s="15">
        <f t="shared" si="101"/>
        <v>0</v>
      </c>
      <c r="CN23" s="15">
        <f t="shared" si="101"/>
        <v>0</v>
      </c>
      <c r="CO23" s="15">
        <f t="shared" ref="CO23" si="102">CO24+CO50+CO110</f>
        <v>1216.1424729201724</v>
      </c>
      <c r="CP23" s="15">
        <f>CP24+CP50+CP110</f>
        <v>25.37238</v>
      </c>
      <c r="CQ23" s="15">
        <f t="shared" ref="CQ23:CU23" si="103">CQ24+CQ50+CQ110</f>
        <v>1301.2736442634484</v>
      </c>
      <c r="CR23" s="15">
        <f t="shared" si="103"/>
        <v>0</v>
      </c>
      <c r="CS23" s="15">
        <f t="shared" si="103"/>
        <v>0</v>
      </c>
      <c r="CT23" s="15">
        <f t="shared" si="103"/>
        <v>1230.8382057514484</v>
      </c>
      <c r="CU23" s="15">
        <f t="shared" si="103"/>
        <v>70.43543851199999</v>
      </c>
      <c r="CV23" s="16" t="s">
        <v>103</v>
      </c>
    </row>
    <row r="24" spans="1:100" s="8" customFormat="1" ht="31.5" x14ac:dyDescent="0.25">
      <c r="A24" s="17" t="s">
        <v>22</v>
      </c>
      <c r="B24" s="18" t="s">
        <v>23</v>
      </c>
      <c r="C24" s="16" t="s">
        <v>112</v>
      </c>
      <c r="D24" s="16" t="s">
        <v>103</v>
      </c>
      <c r="E24" s="16" t="s">
        <v>103</v>
      </c>
      <c r="F24" s="16" t="s">
        <v>103</v>
      </c>
      <c r="G24" s="16" t="s">
        <v>103</v>
      </c>
      <c r="H24" s="19">
        <v>0</v>
      </c>
      <c r="I24" s="19">
        <f>I25</f>
        <v>25.37238</v>
      </c>
      <c r="J24" s="19" t="str">
        <f t="shared" ref="J24:CO24" si="104">J25</f>
        <v>нд</v>
      </c>
      <c r="K24" s="19" t="s">
        <v>103</v>
      </c>
      <c r="L24" s="19">
        <f>L25</f>
        <v>70.43543851199999</v>
      </c>
      <c r="M24" s="19" t="s">
        <v>103</v>
      </c>
      <c r="N24" s="19">
        <f t="shared" si="104"/>
        <v>78.769127087999991</v>
      </c>
      <c r="O24" s="19">
        <f t="shared" si="104"/>
        <v>0</v>
      </c>
      <c r="P24" s="19">
        <f t="shared" si="104"/>
        <v>66.308583882720001</v>
      </c>
      <c r="Q24" s="19">
        <f t="shared" si="104"/>
        <v>66.308583882720001</v>
      </c>
      <c r="R24" s="19">
        <f t="shared" si="104"/>
        <v>153.24676791696001</v>
      </c>
      <c r="S24" s="19">
        <f t="shared" si="104"/>
        <v>162.37159772875128</v>
      </c>
      <c r="T24" s="19">
        <f t="shared" si="104"/>
        <v>25.37238</v>
      </c>
      <c r="U24" s="19">
        <f t="shared" si="104"/>
        <v>70.43543851199999</v>
      </c>
      <c r="V24" s="26">
        <f t="shared" si="99"/>
        <v>25.37238</v>
      </c>
      <c r="W24" s="26">
        <f>T24-Y24-AD24</f>
        <v>0</v>
      </c>
      <c r="X24" s="19">
        <f t="shared" si="104"/>
        <v>42.488093507999999</v>
      </c>
      <c r="Y24" s="19">
        <f t="shared" si="104"/>
        <v>0</v>
      </c>
      <c r="Z24" s="19">
        <f t="shared" si="104"/>
        <v>0</v>
      </c>
      <c r="AA24" s="19">
        <f t="shared" si="104"/>
        <v>0</v>
      </c>
      <c r="AB24" s="19">
        <f t="shared" si="104"/>
        <v>0</v>
      </c>
      <c r="AC24" s="19">
        <f t="shared" si="104"/>
        <v>0</v>
      </c>
      <c r="AD24" s="19">
        <f t="shared" ref="AD24" si="105">AD25</f>
        <v>25.37238</v>
      </c>
      <c r="AE24" s="19">
        <f t="shared" ref="AE24" si="106">AE25</f>
        <v>0</v>
      </c>
      <c r="AF24" s="19">
        <f t="shared" ref="AF24" si="107">AF25</f>
        <v>0</v>
      </c>
      <c r="AG24" s="19">
        <f t="shared" ref="AG24" si="108">AG25</f>
        <v>0</v>
      </c>
      <c r="AH24" s="19">
        <f>AH25</f>
        <v>25.37238</v>
      </c>
      <c r="AI24" s="19">
        <f t="shared" ref="AI24:AM24" si="109">AI25</f>
        <v>27.947345003999999</v>
      </c>
      <c r="AJ24" s="19">
        <f t="shared" si="109"/>
        <v>0</v>
      </c>
      <c r="AK24" s="19">
        <f t="shared" si="109"/>
        <v>0</v>
      </c>
      <c r="AL24" s="19">
        <f t="shared" si="109"/>
        <v>0</v>
      </c>
      <c r="AM24" s="19">
        <f t="shared" si="109"/>
        <v>27.947345003999999</v>
      </c>
      <c r="AN24" s="19">
        <f t="shared" si="104"/>
        <v>0</v>
      </c>
      <c r="AO24" s="19">
        <f t="shared" si="104"/>
        <v>0</v>
      </c>
      <c r="AP24" s="19">
        <f t="shared" si="104"/>
        <v>0</v>
      </c>
      <c r="AQ24" s="19">
        <f t="shared" si="104"/>
        <v>0</v>
      </c>
      <c r="AR24" s="19">
        <f t="shared" si="104"/>
        <v>0</v>
      </c>
      <c r="AS24" s="19">
        <f t="shared" si="104"/>
        <v>42.488093507999999</v>
      </c>
      <c r="AT24" s="19">
        <f t="shared" si="104"/>
        <v>0</v>
      </c>
      <c r="AU24" s="19">
        <f t="shared" si="104"/>
        <v>0</v>
      </c>
      <c r="AV24" s="19">
        <f t="shared" si="104"/>
        <v>0</v>
      </c>
      <c r="AW24" s="19">
        <f t="shared" si="104"/>
        <v>42.488093507999999</v>
      </c>
      <c r="AX24" s="19">
        <f t="shared" si="104"/>
        <v>0</v>
      </c>
      <c r="AY24" s="19">
        <f t="shared" si="104"/>
        <v>0</v>
      </c>
      <c r="AZ24" s="19">
        <f t="shared" si="104"/>
        <v>0</v>
      </c>
      <c r="BA24" s="19">
        <f t="shared" si="104"/>
        <v>0</v>
      </c>
      <c r="BB24" s="19">
        <f t="shared" si="104"/>
        <v>0</v>
      </c>
      <c r="BC24" s="19">
        <f t="shared" si="104"/>
        <v>0</v>
      </c>
      <c r="BD24" s="19">
        <f t="shared" si="104"/>
        <v>0</v>
      </c>
      <c r="BE24" s="19">
        <f t="shared" si="104"/>
        <v>0</v>
      </c>
      <c r="BF24" s="19">
        <f t="shared" si="104"/>
        <v>0</v>
      </c>
      <c r="BG24" s="19">
        <f t="shared" si="104"/>
        <v>0</v>
      </c>
      <c r="BH24" s="19">
        <f t="shared" si="104"/>
        <v>0</v>
      </c>
      <c r="BI24" s="19">
        <f t="shared" si="104"/>
        <v>0</v>
      </c>
      <c r="BJ24" s="19">
        <f t="shared" si="104"/>
        <v>0</v>
      </c>
      <c r="BK24" s="19">
        <f t="shared" si="104"/>
        <v>0</v>
      </c>
      <c r="BL24" s="19">
        <f t="shared" si="104"/>
        <v>0</v>
      </c>
      <c r="BM24" s="19">
        <f t="shared" si="104"/>
        <v>0</v>
      </c>
      <c r="BN24" s="19">
        <f t="shared" si="104"/>
        <v>0</v>
      </c>
      <c r="BO24" s="19">
        <f t="shared" si="104"/>
        <v>0</v>
      </c>
      <c r="BP24" s="19">
        <f t="shared" si="104"/>
        <v>0</v>
      </c>
      <c r="BQ24" s="19">
        <f t="shared" si="104"/>
        <v>0</v>
      </c>
      <c r="BR24" s="19">
        <f t="shared" si="104"/>
        <v>0</v>
      </c>
      <c r="BS24" s="19">
        <f t="shared" si="104"/>
        <v>0</v>
      </c>
      <c r="BT24" s="19">
        <f t="shared" si="104"/>
        <v>0</v>
      </c>
      <c r="BU24" s="19">
        <f t="shared" si="104"/>
        <v>0</v>
      </c>
      <c r="BV24" s="19">
        <f t="shared" si="104"/>
        <v>0</v>
      </c>
      <c r="BW24" s="19">
        <f t="shared" si="104"/>
        <v>0</v>
      </c>
      <c r="BX24" s="19">
        <f t="shared" si="104"/>
        <v>0</v>
      </c>
      <c r="BY24" s="19">
        <f t="shared" si="104"/>
        <v>0</v>
      </c>
      <c r="BZ24" s="19">
        <f t="shared" si="104"/>
        <v>0</v>
      </c>
      <c r="CA24" s="19">
        <f t="shared" si="104"/>
        <v>0</v>
      </c>
      <c r="CB24" s="19">
        <f t="shared" si="104"/>
        <v>0</v>
      </c>
      <c r="CC24" s="19">
        <f t="shared" si="104"/>
        <v>0</v>
      </c>
      <c r="CD24" s="19">
        <f t="shared" si="104"/>
        <v>0</v>
      </c>
      <c r="CE24" s="19">
        <f t="shared" si="104"/>
        <v>0</v>
      </c>
      <c r="CF24" s="19">
        <f t="shared" si="104"/>
        <v>0</v>
      </c>
      <c r="CG24" s="19">
        <f t="shared" si="104"/>
        <v>0</v>
      </c>
      <c r="CH24" s="19">
        <f t="shared" si="104"/>
        <v>0</v>
      </c>
      <c r="CI24" s="19">
        <f t="shared" si="104"/>
        <v>0</v>
      </c>
      <c r="CJ24" s="19">
        <f t="shared" si="104"/>
        <v>0</v>
      </c>
      <c r="CK24" s="19">
        <f t="shared" si="104"/>
        <v>0</v>
      </c>
      <c r="CL24" s="19">
        <v>25.37238</v>
      </c>
      <c r="CM24" s="19">
        <f t="shared" si="104"/>
        <v>0</v>
      </c>
      <c r="CN24" s="19">
        <f t="shared" si="104"/>
        <v>0</v>
      </c>
      <c r="CO24" s="19">
        <f t="shared" si="104"/>
        <v>0</v>
      </c>
      <c r="CP24" s="19">
        <f>CP25</f>
        <v>25.37238</v>
      </c>
      <c r="CQ24" s="19">
        <f t="shared" ref="CQ24:CU24" si="110">CQ25</f>
        <v>70.43543851199999</v>
      </c>
      <c r="CR24" s="19">
        <f t="shared" si="110"/>
        <v>0</v>
      </c>
      <c r="CS24" s="19">
        <f t="shared" si="110"/>
        <v>0</v>
      </c>
      <c r="CT24" s="19">
        <f t="shared" si="110"/>
        <v>0</v>
      </c>
      <c r="CU24" s="19">
        <f t="shared" si="110"/>
        <v>70.43543851199999</v>
      </c>
      <c r="CV24" s="16" t="s">
        <v>103</v>
      </c>
    </row>
    <row r="25" spans="1:100" s="8" customFormat="1" ht="47.25" x14ac:dyDescent="0.25">
      <c r="A25" s="17" t="s">
        <v>24</v>
      </c>
      <c r="B25" s="18" t="s">
        <v>25</v>
      </c>
      <c r="C25" s="16" t="s">
        <v>112</v>
      </c>
      <c r="D25" s="16" t="s">
        <v>103</v>
      </c>
      <c r="E25" s="16" t="s">
        <v>103</v>
      </c>
      <c r="F25" s="16" t="s">
        <v>103</v>
      </c>
      <c r="G25" s="16" t="s">
        <v>103</v>
      </c>
      <c r="H25" s="19">
        <v>0</v>
      </c>
      <c r="I25" s="19">
        <f>I28</f>
        <v>25.37238</v>
      </c>
      <c r="J25" s="19" t="str">
        <f t="shared" ref="J25:CP25" si="111">J28</f>
        <v>нд</v>
      </c>
      <c r="K25" s="19" t="s">
        <v>103</v>
      </c>
      <c r="L25" s="19">
        <f>L28</f>
        <v>70.43543851199999</v>
      </c>
      <c r="M25" s="19" t="s">
        <v>103</v>
      </c>
      <c r="N25" s="19">
        <f t="shared" si="111"/>
        <v>78.769127087999991</v>
      </c>
      <c r="O25" s="19">
        <f t="shared" si="111"/>
        <v>0</v>
      </c>
      <c r="P25" s="19">
        <f t="shared" si="111"/>
        <v>66.308583882720001</v>
      </c>
      <c r="Q25" s="19">
        <f t="shared" si="111"/>
        <v>66.308583882720001</v>
      </c>
      <c r="R25" s="19">
        <f t="shared" si="111"/>
        <v>153.24676791696001</v>
      </c>
      <c r="S25" s="19">
        <f t="shared" si="111"/>
        <v>162.37159772875128</v>
      </c>
      <c r="T25" s="19">
        <f>T28</f>
        <v>25.37238</v>
      </c>
      <c r="U25" s="19">
        <f>U28</f>
        <v>70.43543851199999</v>
      </c>
      <c r="V25" s="26">
        <f t="shared" si="99"/>
        <v>25.37238</v>
      </c>
      <c r="W25" s="26">
        <f>T25-Y25-AD25</f>
        <v>0</v>
      </c>
      <c r="X25" s="19">
        <f t="shared" si="111"/>
        <v>42.488093507999999</v>
      </c>
      <c r="Y25" s="19">
        <f t="shared" si="111"/>
        <v>0</v>
      </c>
      <c r="Z25" s="19">
        <f t="shared" si="111"/>
        <v>0</v>
      </c>
      <c r="AA25" s="19">
        <f t="shared" si="111"/>
        <v>0</v>
      </c>
      <c r="AB25" s="19">
        <f t="shared" si="111"/>
        <v>0</v>
      </c>
      <c r="AC25" s="19">
        <f t="shared" si="111"/>
        <v>0</v>
      </c>
      <c r="AD25" s="19">
        <f t="shared" si="111"/>
        <v>25.37238</v>
      </c>
      <c r="AE25" s="19">
        <f t="shared" si="111"/>
        <v>0</v>
      </c>
      <c r="AF25" s="19">
        <f t="shared" si="111"/>
        <v>0</v>
      </c>
      <c r="AG25" s="19">
        <f t="shared" si="111"/>
        <v>0</v>
      </c>
      <c r="AH25" s="19">
        <f t="shared" si="111"/>
        <v>25.37238</v>
      </c>
      <c r="AI25" s="19">
        <f t="shared" si="111"/>
        <v>27.947345003999999</v>
      </c>
      <c r="AJ25" s="19">
        <f t="shared" si="111"/>
        <v>0</v>
      </c>
      <c r="AK25" s="19">
        <f t="shared" si="111"/>
        <v>0</v>
      </c>
      <c r="AL25" s="19">
        <f t="shared" si="111"/>
        <v>0</v>
      </c>
      <c r="AM25" s="19">
        <f t="shared" si="111"/>
        <v>27.947345003999999</v>
      </c>
      <c r="AN25" s="19">
        <f t="shared" si="111"/>
        <v>0</v>
      </c>
      <c r="AO25" s="19">
        <f t="shared" si="111"/>
        <v>0</v>
      </c>
      <c r="AP25" s="19">
        <f t="shared" si="111"/>
        <v>0</v>
      </c>
      <c r="AQ25" s="19">
        <f t="shared" si="111"/>
        <v>0</v>
      </c>
      <c r="AR25" s="19">
        <f t="shared" si="111"/>
        <v>0</v>
      </c>
      <c r="AS25" s="19">
        <f t="shared" si="111"/>
        <v>42.488093507999999</v>
      </c>
      <c r="AT25" s="19">
        <f t="shared" si="111"/>
        <v>0</v>
      </c>
      <c r="AU25" s="19">
        <f t="shared" si="111"/>
        <v>0</v>
      </c>
      <c r="AV25" s="19">
        <f t="shared" si="111"/>
        <v>0</v>
      </c>
      <c r="AW25" s="19">
        <f t="shared" si="111"/>
        <v>42.488093507999999</v>
      </c>
      <c r="AX25" s="19">
        <f t="shared" si="111"/>
        <v>0</v>
      </c>
      <c r="AY25" s="19">
        <f t="shared" si="111"/>
        <v>0</v>
      </c>
      <c r="AZ25" s="19">
        <f t="shared" si="111"/>
        <v>0</v>
      </c>
      <c r="BA25" s="19">
        <f t="shared" si="111"/>
        <v>0</v>
      </c>
      <c r="BB25" s="19">
        <f t="shared" si="111"/>
        <v>0</v>
      </c>
      <c r="BC25" s="19">
        <f t="shared" si="111"/>
        <v>0</v>
      </c>
      <c r="BD25" s="19">
        <f t="shared" si="111"/>
        <v>0</v>
      </c>
      <c r="BE25" s="19">
        <f t="shared" si="111"/>
        <v>0</v>
      </c>
      <c r="BF25" s="19">
        <f t="shared" si="111"/>
        <v>0</v>
      </c>
      <c r="BG25" s="19">
        <f t="shared" si="111"/>
        <v>0</v>
      </c>
      <c r="BH25" s="19">
        <f t="shared" si="111"/>
        <v>0</v>
      </c>
      <c r="BI25" s="19">
        <f t="shared" si="111"/>
        <v>0</v>
      </c>
      <c r="BJ25" s="19">
        <f t="shared" si="111"/>
        <v>0</v>
      </c>
      <c r="BK25" s="19">
        <f t="shared" si="111"/>
        <v>0</v>
      </c>
      <c r="BL25" s="19">
        <f t="shared" si="111"/>
        <v>0</v>
      </c>
      <c r="BM25" s="19">
        <f t="shared" si="111"/>
        <v>0</v>
      </c>
      <c r="BN25" s="19">
        <f t="shared" si="111"/>
        <v>0</v>
      </c>
      <c r="BO25" s="19">
        <f t="shared" si="111"/>
        <v>0</v>
      </c>
      <c r="BP25" s="19">
        <f t="shared" si="111"/>
        <v>0</v>
      </c>
      <c r="BQ25" s="19">
        <f t="shared" si="111"/>
        <v>0</v>
      </c>
      <c r="BR25" s="19">
        <f t="shared" si="111"/>
        <v>0</v>
      </c>
      <c r="BS25" s="19">
        <f t="shared" si="111"/>
        <v>0</v>
      </c>
      <c r="BT25" s="19">
        <f t="shared" si="111"/>
        <v>0</v>
      </c>
      <c r="BU25" s="19">
        <f t="shared" si="111"/>
        <v>0</v>
      </c>
      <c r="BV25" s="19">
        <f t="shared" si="111"/>
        <v>0</v>
      </c>
      <c r="BW25" s="19">
        <f t="shared" si="111"/>
        <v>0</v>
      </c>
      <c r="BX25" s="19">
        <f t="shared" si="111"/>
        <v>0</v>
      </c>
      <c r="BY25" s="19">
        <f t="shared" si="111"/>
        <v>0</v>
      </c>
      <c r="BZ25" s="19">
        <f t="shared" si="111"/>
        <v>0</v>
      </c>
      <c r="CA25" s="19">
        <f t="shared" si="111"/>
        <v>0</v>
      </c>
      <c r="CB25" s="19">
        <f t="shared" si="111"/>
        <v>0</v>
      </c>
      <c r="CC25" s="19">
        <f t="shared" si="111"/>
        <v>0</v>
      </c>
      <c r="CD25" s="19">
        <f t="shared" si="111"/>
        <v>0</v>
      </c>
      <c r="CE25" s="19">
        <f t="shared" si="111"/>
        <v>0</v>
      </c>
      <c r="CF25" s="19">
        <f t="shared" si="111"/>
        <v>0</v>
      </c>
      <c r="CG25" s="19">
        <f t="shared" si="111"/>
        <v>0</v>
      </c>
      <c r="CH25" s="19">
        <f t="shared" si="111"/>
        <v>0</v>
      </c>
      <c r="CI25" s="19">
        <f t="shared" si="111"/>
        <v>0</v>
      </c>
      <c r="CJ25" s="19">
        <f t="shared" si="111"/>
        <v>0</v>
      </c>
      <c r="CK25" s="19">
        <f t="shared" si="111"/>
        <v>0</v>
      </c>
      <c r="CL25" s="19">
        <v>25.37238</v>
      </c>
      <c r="CM25" s="19">
        <f t="shared" si="111"/>
        <v>0</v>
      </c>
      <c r="CN25" s="19">
        <f t="shared" si="111"/>
        <v>0</v>
      </c>
      <c r="CO25" s="19">
        <f t="shared" si="111"/>
        <v>0</v>
      </c>
      <c r="CP25" s="19">
        <f t="shared" si="111"/>
        <v>25.37238</v>
      </c>
      <c r="CQ25" s="19">
        <f>CQ28</f>
        <v>70.43543851199999</v>
      </c>
      <c r="CR25" s="19">
        <f t="shared" ref="CR25:CU25" si="112">CR28</f>
        <v>0</v>
      </c>
      <c r="CS25" s="19">
        <f t="shared" si="112"/>
        <v>0</v>
      </c>
      <c r="CT25" s="19">
        <f t="shared" si="112"/>
        <v>0</v>
      </c>
      <c r="CU25" s="19">
        <f t="shared" si="112"/>
        <v>70.43543851199999</v>
      </c>
      <c r="CV25" s="16" t="s">
        <v>103</v>
      </c>
    </row>
    <row r="26" spans="1:100" s="8" customFormat="1" ht="63" x14ac:dyDescent="0.25">
      <c r="A26" s="17" t="s">
        <v>26</v>
      </c>
      <c r="B26" s="18" t="s">
        <v>27</v>
      </c>
      <c r="C26" s="16" t="s">
        <v>112</v>
      </c>
      <c r="D26" s="16" t="s">
        <v>103</v>
      </c>
      <c r="E26" s="16" t="s">
        <v>103</v>
      </c>
      <c r="F26" s="16" t="s">
        <v>103</v>
      </c>
      <c r="G26" s="16" t="s">
        <v>103</v>
      </c>
      <c r="H26" s="19">
        <v>0</v>
      </c>
      <c r="I26" s="19">
        <v>0</v>
      </c>
      <c r="J26" s="16" t="s">
        <v>103</v>
      </c>
      <c r="K26" s="16" t="s">
        <v>103</v>
      </c>
      <c r="L26" s="16"/>
      <c r="M26" s="16" t="s">
        <v>103</v>
      </c>
      <c r="N26" s="19" t="e">
        <f>#REF!</f>
        <v>#REF!</v>
      </c>
      <c r="O26" s="19" t="e">
        <f>#REF!</f>
        <v>#REF!</v>
      </c>
      <c r="P26" s="19" t="e">
        <f>#REF!</f>
        <v>#REF!</v>
      </c>
      <c r="Q26" s="19" t="e">
        <f>#REF!</f>
        <v>#REF!</v>
      </c>
      <c r="R26" s="19"/>
      <c r="S26" s="19"/>
      <c r="T26" s="19" t="e">
        <f>#REF!</f>
        <v>#REF!</v>
      </c>
      <c r="U26" s="19"/>
      <c r="V26" s="19"/>
      <c r="W26" s="19" t="e">
        <f>#REF!</f>
        <v>#REF!</v>
      </c>
      <c r="X26" s="19"/>
      <c r="Y26" s="19" t="s">
        <v>103</v>
      </c>
      <c r="Z26" s="19" t="s">
        <v>103</v>
      </c>
      <c r="AA26" s="19" t="s">
        <v>103</v>
      </c>
      <c r="AB26" s="19" t="s">
        <v>103</v>
      </c>
      <c r="AC26" s="19" t="s">
        <v>103</v>
      </c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 t="e">
        <f>#REF!</f>
        <v>#REF!</v>
      </c>
      <c r="AO26" s="19" t="e">
        <f>#REF!</f>
        <v>#REF!</v>
      </c>
      <c r="AP26" s="19" t="e">
        <f>#REF!</f>
        <v>#REF!</v>
      </c>
      <c r="AQ26" s="19" t="e">
        <f>#REF!</f>
        <v>#REF!</v>
      </c>
      <c r="AR26" s="19" t="e">
        <f>#REF!</f>
        <v>#REF!</v>
      </c>
      <c r="AS26" s="19" t="e">
        <f>#REF!</f>
        <v>#REF!</v>
      </c>
      <c r="AT26" s="19" t="e">
        <f>#REF!</f>
        <v>#REF!</v>
      </c>
      <c r="AU26" s="19" t="e">
        <f>#REF!</f>
        <v>#REF!</v>
      </c>
      <c r="AV26" s="19" t="e">
        <f>#REF!</f>
        <v>#REF!</v>
      </c>
      <c r="AW26" s="19" t="e">
        <f>#REF!</f>
        <v>#REF!</v>
      </c>
      <c r="AX26" s="21"/>
      <c r="AY26" s="21"/>
      <c r="AZ26" s="21"/>
      <c r="BA26" s="21"/>
      <c r="BB26" s="21"/>
      <c r="BC26" s="21"/>
      <c r="BD26" s="21"/>
      <c r="BE26" s="21"/>
      <c r="BF26" s="21"/>
      <c r="BG26" s="21"/>
      <c r="BH26" s="21"/>
      <c r="BI26" s="21"/>
      <c r="BJ26" s="21"/>
      <c r="BK26" s="21"/>
      <c r="BL26" s="21"/>
      <c r="BM26" s="21"/>
      <c r="BN26" s="21"/>
      <c r="BO26" s="21"/>
      <c r="BP26" s="21"/>
      <c r="BQ26" s="21"/>
      <c r="BR26" s="21"/>
      <c r="BS26" s="21"/>
      <c r="BT26" s="21"/>
      <c r="BU26" s="21"/>
      <c r="BV26" s="21"/>
      <c r="BW26" s="21"/>
      <c r="BX26" s="21"/>
      <c r="BY26" s="21"/>
      <c r="BZ26" s="21"/>
      <c r="CA26" s="21"/>
      <c r="CB26" s="21"/>
      <c r="CC26" s="21"/>
      <c r="CD26" s="21"/>
      <c r="CE26" s="21"/>
      <c r="CF26" s="21"/>
      <c r="CG26" s="21"/>
      <c r="CH26" s="21"/>
      <c r="CI26" s="21"/>
      <c r="CJ26" s="21"/>
      <c r="CK26" s="21"/>
      <c r="CL26" s="21"/>
      <c r="CM26" s="21"/>
      <c r="CN26" s="21"/>
      <c r="CO26" s="21"/>
      <c r="CP26" s="21"/>
      <c r="CQ26" s="19"/>
      <c r="CR26" s="19"/>
      <c r="CS26" s="19"/>
      <c r="CT26" s="19"/>
      <c r="CU26" s="19"/>
      <c r="CV26" s="16" t="s">
        <v>103</v>
      </c>
    </row>
    <row r="27" spans="1:100" s="8" customFormat="1" ht="63" x14ac:dyDescent="0.25">
      <c r="A27" s="17" t="s">
        <v>28</v>
      </c>
      <c r="B27" s="18" t="s">
        <v>29</v>
      </c>
      <c r="C27" s="16" t="s">
        <v>112</v>
      </c>
      <c r="D27" s="16" t="s">
        <v>103</v>
      </c>
      <c r="E27" s="16" t="s">
        <v>103</v>
      </c>
      <c r="F27" s="16" t="s">
        <v>103</v>
      </c>
      <c r="G27" s="16" t="s">
        <v>103</v>
      </c>
      <c r="H27" s="19">
        <v>0</v>
      </c>
      <c r="I27" s="19">
        <v>0</v>
      </c>
      <c r="J27" s="16" t="s">
        <v>103</v>
      </c>
      <c r="K27" s="16" t="s">
        <v>103</v>
      </c>
      <c r="L27" s="16"/>
      <c r="M27" s="16" t="s">
        <v>103</v>
      </c>
      <c r="N27" s="19" t="e">
        <f>#REF!</f>
        <v>#REF!</v>
      </c>
      <c r="O27" s="19" t="e">
        <f>#REF!</f>
        <v>#REF!</v>
      </c>
      <c r="P27" s="19" t="e">
        <f>#REF!</f>
        <v>#REF!</v>
      </c>
      <c r="Q27" s="19" t="e">
        <f>#REF!</f>
        <v>#REF!</v>
      </c>
      <c r="R27" s="19"/>
      <c r="S27" s="19"/>
      <c r="T27" s="19" t="e">
        <f>#REF!</f>
        <v>#REF!</v>
      </c>
      <c r="U27" s="19"/>
      <c r="V27" s="19"/>
      <c r="W27" s="19" t="e">
        <f>#REF!</f>
        <v>#REF!</v>
      </c>
      <c r="X27" s="19"/>
      <c r="Y27" s="19" t="s">
        <v>103</v>
      </c>
      <c r="Z27" s="19" t="s">
        <v>103</v>
      </c>
      <c r="AA27" s="19" t="s">
        <v>103</v>
      </c>
      <c r="AB27" s="19" t="s">
        <v>103</v>
      </c>
      <c r="AC27" s="19" t="s">
        <v>103</v>
      </c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 t="e">
        <f>#REF!</f>
        <v>#REF!</v>
      </c>
      <c r="AO27" s="19" t="e">
        <f>#REF!</f>
        <v>#REF!</v>
      </c>
      <c r="AP27" s="19" t="e">
        <f>#REF!</f>
        <v>#REF!</v>
      </c>
      <c r="AQ27" s="19" t="e">
        <f>#REF!</f>
        <v>#REF!</v>
      </c>
      <c r="AR27" s="19" t="e">
        <f>#REF!</f>
        <v>#REF!</v>
      </c>
      <c r="AS27" s="19" t="e">
        <f>#REF!</f>
        <v>#REF!</v>
      </c>
      <c r="AT27" s="19" t="e">
        <f>#REF!</f>
        <v>#REF!</v>
      </c>
      <c r="AU27" s="19" t="e">
        <f>#REF!</f>
        <v>#REF!</v>
      </c>
      <c r="AV27" s="19" t="e">
        <f>#REF!</f>
        <v>#REF!</v>
      </c>
      <c r="AW27" s="19" t="e">
        <f>#REF!</f>
        <v>#REF!</v>
      </c>
      <c r="AX27" s="21"/>
      <c r="AY27" s="21"/>
      <c r="AZ27" s="21"/>
      <c r="BA27" s="21"/>
      <c r="BB27" s="21"/>
      <c r="BC27" s="21"/>
      <c r="BD27" s="21"/>
      <c r="BE27" s="21"/>
      <c r="BF27" s="21"/>
      <c r="BG27" s="21"/>
      <c r="BH27" s="21"/>
      <c r="BI27" s="21"/>
      <c r="BJ27" s="21"/>
      <c r="BK27" s="21"/>
      <c r="BL27" s="21"/>
      <c r="BM27" s="21"/>
      <c r="BN27" s="21"/>
      <c r="BO27" s="21"/>
      <c r="BP27" s="21"/>
      <c r="BQ27" s="21"/>
      <c r="BR27" s="21"/>
      <c r="BS27" s="21"/>
      <c r="BT27" s="21"/>
      <c r="BU27" s="21"/>
      <c r="BV27" s="21"/>
      <c r="BW27" s="21"/>
      <c r="BX27" s="21"/>
      <c r="BY27" s="21"/>
      <c r="BZ27" s="21"/>
      <c r="CA27" s="21"/>
      <c r="CB27" s="21"/>
      <c r="CC27" s="21"/>
      <c r="CD27" s="21"/>
      <c r="CE27" s="21"/>
      <c r="CF27" s="21"/>
      <c r="CG27" s="21"/>
      <c r="CH27" s="21"/>
      <c r="CI27" s="21"/>
      <c r="CJ27" s="21"/>
      <c r="CK27" s="21"/>
      <c r="CL27" s="21"/>
      <c r="CM27" s="21"/>
      <c r="CN27" s="21"/>
      <c r="CO27" s="21"/>
      <c r="CP27" s="21"/>
      <c r="CQ27" s="19"/>
      <c r="CR27" s="19"/>
      <c r="CS27" s="19"/>
      <c r="CT27" s="19"/>
      <c r="CU27" s="19"/>
      <c r="CV27" s="16" t="s">
        <v>103</v>
      </c>
    </row>
    <row r="28" spans="1:100" s="8" customFormat="1" ht="63" x14ac:dyDescent="0.25">
      <c r="A28" s="17" t="s">
        <v>30</v>
      </c>
      <c r="B28" s="18" t="s">
        <v>31</v>
      </c>
      <c r="C28" s="16" t="s">
        <v>112</v>
      </c>
      <c r="D28" s="16" t="s">
        <v>103</v>
      </c>
      <c r="E28" s="16" t="s">
        <v>103</v>
      </c>
      <c r="F28" s="16" t="s">
        <v>103</v>
      </c>
      <c r="G28" s="16" t="s">
        <v>103</v>
      </c>
      <c r="H28" s="19">
        <v>0</v>
      </c>
      <c r="I28" s="19">
        <f>I29</f>
        <v>25.37238</v>
      </c>
      <c r="J28" s="19" t="str">
        <f t="shared" ref="J28" si="113">J29</f>
        <v>нд</v>
      </c>
      <c r="K28" s="19" t="s">
        <v>103</v>
      </c>
      <c r="L28" s="19">
        <f>SUM(L29:L34)</f>
        <v>70.43543851199999</v>
      </c>
      <c r="M28" s="19" t="s">
        <v>103</v>
      </c>
      <c r="N28" s="19">
        <f>SUM(N29:N34)</f>
        <v>78.769127087999991</v>
      </c>
      <c r="O28" s="19">
        <f t="shared" ref="O28:BP28" si="114">SUM(O29:O34)</f>
        <v>0</v>
      </c>
      <c r="P28" s="19">
        <f t="shared" si="114"/>
        <v>66.308583882720001</v>
      </c>
      <c r="Q28" s="19">
        <f t="shared" si="114"/>
        <v>66.308583882720001</v>
      </c>
      <c r="R28" s="19">
        <f t="shared" si="114"/>
        <v>153.24676791696001</v>
      </c>
      <c r="S28" s="19">
        <f t="shared" si="114"/>
        <v>162.37159772875128</v>
      </c>
      <c r="T28" s="19">
        <f t="shared" si="114"/>
        <v>25.37238</v>
      </c>
      <c r="U28" s="19">
        <f t="shared" si="114"/>
        <v>70.43543851199999</v>
      </c>
      <c r="V28" s="26">
        <f t="shared" ref="V28:V34" si="115">T28</f>
        <v>25.37238</v>
      </c>
      <c r="W28" s="26">
        <f>T28-Y28-AD28</f>
        <v>0</v>
      </c>
      <c r="X28" s="19">
        <f t="shared" si="114"/>
        <v>42.488093507999999</v>
      </c>
      <c r="Y28" s="19">
        <f t="shared" si="114"/>
        <v>0</v>
      </c>
      <c r="Z28" s="19">
        <f t="shared" si="114"/>
        <v>0</v>
      </c>
      <c r="AA28" s="19">
        <f t="shared" si="114"/>
        <v>0</v>
      </c>
      <c r="AB28" s="19">
        <f t="shared" si="114"/>
        <v>0</v>
      </c>
      <c r="AC28" s="19">
        <f t="shared" si="114"/>
        <v>0</v>
      </c>
      <c r="AD28" s="19">
        <f t="shared" si="114"/>
        <v>25.37238</v>
      </c>
      <c r="AE28" s="19">
        <f t="shared" si="114"/>
        <v>0</v>
      </c>
      <c r="AF28" s="19">
        <f t="shared" si="114"/>
        <v>0</v>
      </c>
      <c r="AG28" s="19">
        <f t="shared" si="114"/>
        <v>0</v>
      </c>
      <c r="AH28" s="19">
        <f t="shared" si="114"/>
        <v>25.37238</v>
      </c>
      <c r="AI28" s="19">
        <f t="shared" si="114"/>
        <v>27.947345003999999</v>
      </c>
      <c r="AJ28" s="19">
        <f t="shared" si="114"/>
        <v>0</v>
      </c>
      <c r="AK28" s="19">
        <f t="shared" si="114"/>
        <v>0</v>
      </c>
      <c r="AL28" s="19">
        <f t="shared" si="114"/>
        <v>0</v>
      </c>
      <c r="AM28" s="19">
        <f t="shared" si="114"/>
        <v>27.947345003999999</v>
      </c>
      <c r="AN28" s="19">
        <f t="shared" si="114"/>
        <v>0</v>
      </c>
      <c r="AO28" s="19">
        <f t="shared" si="114"/>
        <v>0</v>
      </c>
      <c r="AP28" s="19">
        <f t="shared" si="114"/>
        <v>0</v>
      </c>
      <c r="AQ28" s="19">
        <f t="shared" si="114"/>
        <v>0</v>
      </c>
      <c r="AR28" s="19">
        <f t="shared" si="114"/>
        <v>0</v>
      </c>
      <c r="AS28" s="19">
        <f t="shared" si="114"/>
        <v>42.488093507999999</v>
      </c>
      <c r="AT28" s="19">
        <f t="shared" si="114"/>
        <v>0</v>
      </c>
      <c r="AU28" s="19">
        <f t="shared" si="114"/>
        <v>0</v>
      </c>
      <c r="AV28" s="19">
        <f t="shared" si="114"/>
        <v>0</v>
      </c>
      <c r="AW28" s="19">
        <f t="shared" si="114"/>
        <v>42.488093507999999</v>
      </c>
      <c r="AX28" s="19">
        <f t="shared" si="114"/>
        <v>0</v>
      </c>
      <c r="AY28" s="19">
        <f t="shared" si="114"/>
        <v>0</v>
      </c>
      <c r="AZ28" s="19">
        <f t="shared" si="114"/>
        <v>0</v>
      </c>
      <c r="BA28" s="19">
        <f t="shared" si="114"/>
        <v>0</v>
      </c>
      <c r="BB28" s="19">
        <f t="shared" si="114"/>
        <v>0</v>
      </c>
      <c r="BC28" s="19">
        <f t="shared" si="114"/>
        <v>0</v>
      </c>
      <c r="BD28" s="19">
        <f t="shared" si="114"/>
        <v>0</v>
      </c>
      <c r="BE28" s="19">
        <f t="shared" si="114"/>
        <v>0</v>
      </c>
      <c r="BF28" s="19">
        <f t="shared" si="114"/>
        <v>0</v>
      </c>
      <c r="BG28" s="19">
        <f t="shared" si="114"/>
        <v>0</v>
      </c>
      <c r="BH28" s="19">
        <f t="shared" si="114"/>
        <v>0</v>
      </c>
      <c r="BI28" s="19">
        <f t="shared" si="114"/>
        <v>0</v>
      </c>
      <c r="BJ28" s="19">
        <f t="shared" si="114"/>
        <v>0</v>
      </c>
      <c r="BK28" s="19">
        <f t="shared" si="114"/>
        <v>0</v>
      </c>
      <c r="BL28" s="19">
        <f t="shared" si="114"/>
        <v>0</v>
      </c>
      <c r="BM28" s="19">
        <f t="shared" si="114"/>
        <v>0</v>
      </c>
      <c r="BN28" s="19">
        <f t="shared" si="114"/>
        <v>0</v>
      </c>
      <c r="BO28" s="19">
        <f t="shared" si="114"/>
        <v>0</v>
      </c>
      <c r="BP28" s="19">
        <f t="shared" si="114"/>
        <v>0</v>
      </c>
      <c r="BQ28" s="19">
        <f t="shared" ref="BQ28:CU28" si="116">SUM(BQ29:BQ34)</f>
        <v>0</v>
      </c>
      <c r="BR28" s="19">
        <f t="shared" si="116"/>
        <v>0</v>
      </c>
      <c r="BS28" s="19">
        <f t="shared" si="116"/>
        <v>0</v>
      </c>
      <c r="BT28" s="19">
        <f t="shared" si="116"/>
        <v>0</v>
      </c>
      <c r="BU28" s="19">
        <f t="shared" si="116"/>
        <v>0</v>
      </c>
      <c r="BV28" s="19">
        <f t="shared" si="116"/>
        <v>0</v>
      </c>
      <c r="BW28" s="19">
        <f t="shared" si="116"/>
        <v>0</v>
      </c>
      <c r="BX28" s="19">
        <f t="shared" si="116"/>
        <v>0</v>
      </c>
      <c r="BY28" s="19">
        <f t="shared" si="116"/>
        <v>0</v>
      </c>
      <c r="BZ28" s="19">
        <f t="shared" si="116"/>
        <v>0</v>
      </c>
      <c r="CA28" s="19">
        <f t="shared" si="116"/>
        <v>0</v>
      </c>
      <c r="CB28" s="19">
        <f t="shared" si="116"/>
        <v>0</v>
      </c>
      <c r="CC28" s="19">
        <f t="shared" si="116"/>
        <v>0</v>
      </c>
      <c r="CD28" s="19">
        <f t="shared" si="116"/>
        <v>0</v>
      </c>
      <c r="CE28" s="19">
        <f t="shared" si="116"/>
        <v>0</v>
      </c>
      <c r="CF28" s="19">
        <f t="shared" si="116"/>
        <v>0</v>
      </c>
      <c r="CG28" s="19">
        <f t="shared" si="116"/>
        <v>0</v>
      </c>
      <c r="CH28" s="19">
        <f t="shared" si="116"/>
        <v>0</v>
      </c>
      <c r="CI28" s="19">
        <f t="shared" si="116"/>
        <v>0</v>
      </c>
      <c r="CJ28" s="19">
        <f t="shared" si="116"/>
        <v>0</v>
      </c>
      <c r="CK28" s="19">
        <f t="shared" si="116"/>
        <v>0</v>
      </c>
      <c r="CL28" s="19">
        <v>25.37238</v>
      </c>
      <c r="CM28" s="19">
        <f t="shared" si="116"/>
        <v>0</v>
      </c>
      <c r="CN28" s="19">
        <f t="shared" si="116"/>
        <v>0</v>
      </c>
      <c r="CO28" s="19">
        <f t="shared" si="116"/>
        <v>0</v>
      </c>
      <c r="CP28" s="19">
        <f t="shared" si="116"/>
        <v>25.37238</v>
      </c>
      <c r="CQ28" s="19">
        <f t="shared" si="116"/>
        <v>70.43543851199999</v>
      </c>
      <c r="CR28" s="19">
        <f t="shared" si="116"/>
        <v>0</v>
      </c>
      <c r="CS28" s="19">
        <f t="shared" si="116"/>
        <v>0</v>
      </c>
      <c r="CT28" s="19">
        <f t="shared" si="116"/>
        <v>0</v>
      </c>
      <c r="CU28" s="19">
        <f t="shared" si="116"/>
        <v>70.43543851199999</v>
      </c>
      <c r="CV28" s="16" t="s">
        <v>103</v>
      </c>
    </row>
    <row r="29" spans="1:100" s="8" customFormat="1" ht="47.25" x14ac:dyDescent="0.25">
      <c r="A29" s="17" t="s">
        <v>190</v>
      </c>
      <c r="B29" s="20" t="s">
        <v>188</v>
      </c>
      <c r="C29" s="16" t="s">
        <v>189</v>
      </c>
      <c r="D29" s="16" t="s">
        <v>191</v>
      </c>
      <c r="E29" s="16">
        <v>2024</v>
      </c>
      <c r="F29" s="16">
        <v>2024</v>
      </c>
      <c r="G29" s="16">
        <v>2024</v>
      </c>
      <c r="H29" s="19" t="s">
        <v>103</v>
      </c>
      <c r="I29" s="19">
        <v>25.37238</v>
      </c>
      <c r="J29" s="16" t="s">
        <v>103</v>
      </c>
      <c r="K29" s="16" t="s">
        <v>103</v>
      </c>
      <c r="L29" s="19">
        <f>CU29</f>
        <v>17.038691424</v>
      </c>
      <c r="M29" s="16" t="s">
        <v>103</v>
      </c>
      <c r="N29" s="19">
        <v>25.37238</v>
      </c>
      <c r="O29" s="19">
        <v>0</v>
      </c>
      <c r="P29" s="19">
        <v>66.308583882720001</v>
      </c>
      <c r="Q29" s="19">
        <v>66.308583882720001</v>
      </c>
      <c r="R29" s="19">
        <f>66308.58388272/1000</f>
        <v>66.308583882720001</v>
      </c>
      <c r="S29" s="19">
        <v>66.308583882720001</v>
      </c>
      <c r="T29" s="19">
        <v>25.37238</v>
      </c>
      <c r="U29" s="19">
        <f>CU29</f>
        <v>17.038691424</v>
      </c>
      <c r="V29" s="26">
        <f t="shared" si="115"/>
        <v>25.37238</v>
      </c>
      <c r="W29" s="26">
        <f>T29-Y29-AD29</f>
        <v>0</v>
      </c>
      <c r="X29" s="19">
        <f>AW29+BG29+BQ29+CA29+CK29</f>
        <v>0</v>
      </c>
      <c r="Y29" s="19">
        <v>0</v>
      </c>
      <c r="Z29" s="19">
        <v>0</v>
      </c>
      <c r="AA29" s="19">
        <v>0</v>
      </c>
      <c r="AB29" s="19">
        <v>0</v>
      </c>
      <c r="AC29" s="19">
        <v>0</v>
      </c>
      <c r="AD29" s="19">
        <f>AH29</f>
        <v>25.37238</v>
      </c>
      <c r="AE29" s="19">
        <v>0</v>
      </c>
      <c r="AF29" s="19">
        <v>0</v>
      </c>
      <c r="AG29" s="19">
        <v>0</v>
      </c>
      <c r="AH29" s="19">
        <v>25.37238</v>
      </c>
      <c r="AI29" s="19">
        <f t="shared" ref="AI29:AI34" si="117">SUM(AJ29:AM29)</f>
        <v>17.038691424</v>
      </c>
      <c r="AJ29" s="19">
        <v>0</v>
      </c>
      <c r="AK29" s="19">
        <v>0</v>
      </c>
      <c r="AL29" s="19">
        <v>0</v>
      </c>
      <c r="AM29" s="19">
        <v>17.038691424</v>
      </c>
      <c r="AN29" s="19">
        <v>0</v>
      </c>
      <c r="AO29" s="19">
        <v>0</v>
      </c>
      <c r="AP29" s="19">
        <v>0</v>
      </c>
      <c r="AQ29" s="19">
        <v>0</v>
      </c>
      <c r="AR29" s="19">
        <v>0</v>
      </c>
      <c r="AS29" s="19">
        <f>SUM(AT29:AW29)</f>
        <v>0</v>
      </c>
      <c r="AT29" s="19">
        <v>0</v>
      </c>
      <c r="AU29" s="19">
        <v>0</v>
      </c>
      <c r="AV29" s="19">
        <v>0</v>
      </c>
      <c r="AW29" s="19">
        <v>0</v>
      </c>
      <c r="AX29" s="21">
        <v>0</v>
      </c>
      <c r="AY29" s="21">
        <v>0</v>
      </c>
      <c r="AZ29" s="21">
        <v>0</v>
      </c>
      <c r="BA29" s="21">
        <v>0</v>
      </c>
      <c r="BB29" s="21">
        <v>0</v>
      </c>
      <c r="BC29" s="21">
        <f>SUM(BD29:BG29)</f>
        <v>0</v>
      </c>
      <c r="BD29" s="21">
        <v>0</v>
      </c>
      <c r="BE29" s="21">
        <v>0</v>
      </c>
      <c r="BF29" s="21">
        <v>0</v>
      </c>
      <c r="BG29" s="21">
        <v>0</v>
      </c>
      <c r="BH29" s="21">
        <v>0</v>
      </c>
      <c r="BI29" s="21">
        <v>0</v>
      </c>
      <c r="BJ29" s="21">
        <v>0</v>
      </c>
      <c r="BK29" s="21">
        <v>0</v>
      </c>
      <c r="BL29" s="21">
        <v>0</v>
      </c>
      <c r="BM29" s="21">
        <f>SUM(BN29:BQ29)</f>
        <v>0</v>
      </c>
      <c r="BN29" s="21">
        <v>0</v>
      </c>
      <c r="BO29" s="21">
        <v>0</v>
      </c>
      <c r="BP29" s="21">
        <v>0</v>
      </c>
      <c r="BQ29" s="21">
        <v>0</v>
      </c>
      <c r="BR29" s="21">
        <f>SUM(BS29:BV29)</f>
        <v>0</v>
      </c>
      <c r="BS29" s="21">
        <v>0</v>
      </c>
      <c r="BT29" s="21">
        <v>0</v>
      </c>
      <c r="BU29" s="21">
        <v>0</v>
      </c>
      <c r="BV29" s="21">
        <v>0</v>
      </c>
      <c r="BW29" s="21">
        <f>SUM(BX29:CA29)</f>
        <v>0</v>
      </c>
      <c r="BX29" s="21">
        <v>0</v>
      </c>
      <c r="BY29" s="21">
        <v>0</v>
      </c>
      <c r="BZ29" s="21">
        <v>0</v>
      </c>
      <c r="CA29" s="21">
        <v>0</v>
      </c>
      <c r="CB29" s="21">
        <v>0</v>
      </c>
      <c r="CC29" s="21">
        <v>0</v>
      </c>
      <c r="CD29" s="21">
        <v>0</v>
      </c>
      <c r="CE29" s="21">
        <v>0</v>
      </c>
      <c r="CF29" s="21">
        <v>0</v>
      </c>
      <c r="CG29" s="21">
        <f>SUM(CH29:CK29)</f>
        <v>0</v>
      </c>
      <c r="CH29" s="21">
        <v>0</v>
      </c>
      <c r="CI29" s="21">
        <v>0</v>
      </c>
      <c r="CJ29" s="21">
        <v>0</v>
      </c>
      <c r="CK29" s="21">
        <v>0</v>
      </c>
      <c r="CL29" s="21">
        <v>25.37238</v>
      </c>
      <c r="CM29" s="21">
        <f>CC29+BS29+BI29+AY29+AO29+AE29</f>
        <v>0</v>
      </c>
      <c r="CN29" s="21">
        <f>CD29+BT29+BJ29+AZ29+AP29+AF29</f>
        <v>0</v>
      </c>
      <c r="CO29" s="21">
        <f>CE29+BU29+BK29+BA29+AQ29+AG29</f>
        <v>0</v>
      </c>
      <c r="CP29" s="21">
        <f>CF29+BV29+BL29+BB29+AR29+AH29</f>
        <v>25.37238</v>
      </c>
      <c r="CQ29" s="21">
        <f>SUM(CR29:CU29)</f>
        <v>17.038691424</v>
      </c>
      <c r="CR29" s="21">
        <v>0</v>
      </c>
      <c r="CS29" s="21">
        <v>0</v>
      </c>
      <c r="CT29" s="21">
        <v>0</v>
      </c>
      <c r="CU29" s="21">
        <f t="shared" ref="CU29:CU49" si="118">CK29+CA29+BQ29+BG29+AW29+AM29</f>
        <v>17.038691424</v>
      </c>
      <c r="CV29" s="31" t="s">
        <v>196</v>
      </c>
    </row>
    <row r="30" spans="1:100" s="8" customFormat="1" ht="47.25" x14ac:dyDescent="0.25">
      <c r="A30" s="17" t="s">
        <v>279</v>
      </c>
      <c r="B30" s="20" t="s">
        <v>285</v>
      </c>
      <c r="C30" s="16" t="s">
        <v>286</v>
      </c>
      <c r="D30" s="16" t="s">
        <v>191</v>
      </c>
      <c r="E30" s="16">
        <v>2024</v>
      </c>
      <c r="F30" s="16" t="s">
        <v>103</v>
      </c>
      <c r="G30" s="16">
        <v>2024</v>
      </c>
      <c r="H30" s="19" t="s">
        <v>103</v>
      </c>
      <c r="I30" s="19">
        <v>0</v>
      </c>
      <c r="J30" s="16" t="s">
        <v>103</v>
      </c>
      <c r="K30" s="16" t="s">
        <v>103</v>
      </c>
      <c r="L30" s="19">
        <f t="shared" ref="L30:L31" si="119">CU30</f>
        <v>4.0602678000000001</v>
      </c>
      <c r="M30" s="16" t="s">
        <v>103</v>
      </c>
      <c r="N30" s="19">
        <v>4.0602678000000001</v>
      </c>
      <c r="O30" s="19">
        <v>0</v>
      </c>
      <c r="P30" s="19" t="s">
        <v>103</v>
      </c>
      <c r="Q30" s="19" t="s">
        <v>103</v>
      </c>
      <c r="R30" s="19">
        <f>8961.33189216/1000</f>
        <v>8.9613318921600005</v>
      </c>
      <c r="S30" s="19">
        <v>8.9613318921600005</v>
      </c>
      <c r="T30" s="19" t="s">
        <v>103</v>
      </c>
      <c r="U30" s="19">
        <f>CU30</f>
        <v>4.0602678000000001</v>
      </c>
      <c r="V30" s="26" t="str">
        <f t="shared" si="115"/>
        <v>нд</v>
      </c>
      <c r="W30" s="26" t="s">
        <v>103</v>
      </c>
      <c r="X30" s="19">
        <f t="shared" ref="X30:X49" si="120">AW30+BG30+BQ30+CA30+CK30</f>
        <v>0</v>
      </c>
      <c r="Y30" s="19">
        <v>0</v>
      </c>
      <c r="Z30" s="19">
        <v>0</v>
      </c>
      <c r="AA30" s="19">
        <v>0</v>
      </c>
      <c r="AB30" s="19">
        <v>0</v>
      </c>
      <c r="AC30" s="19">
        <v>0</v>
      </c>
      <c r="AD30" s="19" t="s">
        <v>103</v>
      </c>
      <c r="AE30" s="19" t="s">
        <v>103</v>
      </c>
      <c r="AF30" s="19" t="s">
        <v>103</v>
      </c>
      <c r="AG30" s="19" t="s">
        <v>103</v>
      </c>
      <c r="AH30" s="19" t="s">
        <v>103</v>
      </c>
      <c r="AI30" s="19">
        <f t="shared" si="117"/>
        <v>4.0602678000000001</v>
      </c>
      <c r="AJ30" s="19">
        <v>0</v>
      </c>
      <c r="AK30" s="19">
        <v>0</v>
      </c>
      <c r="AL30" s="19">
        <v>0</v>
      </c>
      <c r="AM30" s="19">
        <v>4.0602678000000001</v>
      </c>
      <c r="AN30" s="19">
        <v>0</v>
      </c>
      <c r="AO30" s="19">
        <v>0</v>
      </c>
      <c r="AP30" s="19">
        <v>0</v>
      </c>
      <c r="AQ30" s="19">
        <v>0</v>
      </c>
      <c r="AR30" s="19">
        <v>0</v>
      </c>
      <c r="AS30" s="19">
        <f t="shared" ref="AS30:AS49" si="121">SUM(AT30:AW30)</f>
        <v>0</v>
      </c>
      <c r="AT30" s="19">
        <v>0</v>
      </c>
      <c r="AU30" s="19">
        <v>0</v>
      </c>
      <c r="AV30" s="19">
        <v>0</v>
      </c>
      <c r="AW30" s="19">
        <v>0</v>
      </c>
      <c r="AX30" s="21">
        <v>0</v>
      </c>
      <c r="AY30" s="21">
        <v>0</v>
      </c>
      <c r="AZ30" s="21">
        <v>0</v>
      </c>
      <c r="BA30" s="21">
        <v>0</v>
      </c>
      <c r="BB30" s="21">
        <v>0</v>
      </c>
      <c r="BC30" s="21">
        <f t="shared" ref="BC30:BC32" si="122">SUM(BD30:BG30)</f>
        <v>0</v>
      </c>
      <c r="BD30" s="21">
        <v>0</v>
      </c>
      <c r="BE30" s="21">
        <v>0</v>
      </c>
      <c r="BF30" s="21">
        <v>0</v>
      </c>
      <c r="BG30" s="21">
        <v>0</v>
      </c>
      <c r="BH30" s="21">
        <v>0</v>
      </c>
      <c r="BI30" s="21">
        <v>0</v>
      </c>
      <c r="BJ30" s="21">
        <v>0</v>
      </c>
      <c r="BK30" s="21">
        <v>0</v>
      </c>
      <c r="BL30" s="21">
        <v>0</v>
      </c>
      <c r="BM30" s="21">
        <f t="shared" ref="BM30:BM32" si="123">SUM(BN30:BQ30)</f>
        <v>0</v>
      </c>
      <c r="BN30" s="21">
        <v>0</v>
      </c>
      <c r="BO30" s="21">
        <v>0</v>
      </c>
      <c r="BP30" s="21">
        <v>0</v>
      </c>
      <c r="BQ30" s="21">
        <v>0</v>
      </c>
      <c r="BR30" s="21">
        <f t="shared" ref="BR30:BR32" si="124">SUM(BS30:BV30)</f>
        <v>0</v>
      </c>
      <c r="BS30" s="21">
        <v>0</v>
      </c>
      <c r="BT30" s="21">
        <v>0</v>
      </c>
      <c r="BU30" s="21">
        <v>0</v>
      </c>
      <c r="BV30" s="21">
        <v>0</v>
      </c>
      <c r="BW30" s="21">
        <f t="shared" ref="BW30:BW32" si="125">SUM(BX30:CA30)</f>
        <v>0</v>
      </c>
      <c r="BX30" s="21">
        <v>0</v>
      </c>
      <c r="BY30" s="21">
        <v>0</v>
      </c>
      <c r="BZ30" s="21">
        <v>0</v>
      </c>
      <c r="CA30" s="21">
        <v>0</v>
      </c>
      <c r="CB30" s="21">
        <v>0</v>
      </c>
      <c r="CC30" s="21">
        <v>0</v>
      </c>
      <c r="CD30" s="21">
        <v>0</v>
      </c>
      <c r="CE30" s="21">
        <v>0</v>
      </c>
      <c r="CF30" s="21">
        <v>0</v>
      </c>
      <c r="CG30" s="21">
        <f t="shared" ref="CG30:CG32" si="126">SUM(CH30:CK30)</f>
        <v>0</v>
      </c>
      <c r="CH30" s="21">
        <v>0</v>
      </c>
      <c r="CI30" s="21">
        <v>0</v>
      </c>
      <c r="CJ30" s="21">
        <v>0</v>
      </c>
      <c r="CK30" s="21">
        <v>0</v>
      </c>
      <c r="CL30" s="21">
        <v>0</v>
      </c>
      <c r="CM30" s="21" t="s">
        <v>103</v>
      </c>
      <c r="CN30" s="21" t="s">
        <v>103</v>
      </c>
      <c r="CO30" s="21" t="s">
        <v>103</v>
      </c>
      <c r="CP30" s="21" t="s">
        <v>103</v>
      </c>
      <c r="CQ30" s="21">
        <f t="shared" ref="CQ30:CQ34" si="127">SUM(CR30:CU30)</f>
        <v>4.0602678000000001</v>
      </c>
      <c r="CR30" s="21">
        <v>0</v>
      </c>
      <c r="CS30" s="21">
        <v>0</v>
      </c>
      <c r="CT30" s="21">
        <v>0</v>
      </c>
      <c r="CU30" s="21">
        <f t="shared" si="118"/>
        <v>4.0602678000000001</v>
      </c>
      <c r="CV30" s="31" t="s">
        <v>196</v>
      </c>
    </row>
    <row r="31" spans="1:100" s="8" customFormat="1" ht="31.5" x14ac:dyDescent="0.25">
      <c r="A31" s="17" t="s">
        <v>280</v>
      </c>
      <c r="B31" s="20" t="s">
        <v>287</v>
      </c>
      <c r="C31" s="16" t="s">
        <v>288</v>
      </c>
      <c r="D31" s="16" t="s">
        <v>191</v>
      </c>
      <c r="E31" s="16">
        <v>2024</v>
      </c>
      <c r="F31" s="16" t="s">
        <v>103</v>
      </c>
      <c r="G31" s="16">
        <v>2024</v>
      </c>
      <c r="H31" s="19" t="s">
        <v>103</v>
      </c>
      <c r="I31" s="19">
        <v>0</v>
      </c>
      <c r="J31" s="16" t="s">
        <v>103</v>
      </c>
      <c r="K31" s="16" t="s">
        <v>103</v>
      </c>
      <c r="L31" s="19">
        <f t="shared" si="119"/>
        <v>5.9027725799999997</v>
      </c>
      <c r="M31" s="16" t="s">
        <v>103</v>
      </c>
      <c r="N31" s="19">
        <v>5.9027725799999997</v>
      </c>
      <c r="O31" s="19">
        <v>0</v>
      </c>
      <c r="P31" s="19" t="s">
        <v>103</v>
      </c>
      <c r="Q31" s="19" t="s">
        <v>103</v>
      </c>
      <c r="R31" s="19">
        <f>12572.449632/1000</f>
        <v>12.572449632</v>
      </c>
      <c r="S31" s="19">
        <v>12.572449632</v>
      </c>
      <c r="T31" s="19" t="s">
        <v>103</v>
      </c>
      <c r="U31" s="19">
        <f t="shared" ref="U31:U49" si="128">CU31</f>
        <v>5.9027725799999997</v>
      </c>
      <c r="V31" s="26" t="str">
        <f t="shared" si="115"/>
        <v>нд</v>
      </c>
      <c r="W31" s="26" t="s">
        <v>103</v>
      </c>
      <c r="X31" s="19">
        <f t="shared" si="120"/>
        <v>0</v>
      </c>
      <c r="Y31" s="19">
        <v>0</v>
      </c>
      <c r="Z31" s="19">
        <v>0</v>
      </c>
      <c r="AA31" s="19">
        <v>0</v>
      </c>
      <c r="AB31" s="19">
        <v>0</v>
      </c>
      <c r="AC31" s="19">
        <v>0</v>
      </c>
      <c r="AD31" s="19" t="s">
        <v>103</v>
      </c>
      <c r="AE31" s="19" t="s">
        <v>103</v>
      </c>
      <c r="AF31" s="19" t="s">
        <v>103</v>
      </c>
      <c r="AG31" s="19" t="s">
        <v>103</v>
      </c>
      <c r="AH31" s="19" t="s">
        <v>103</v>
      </c>
      <c r="AI31" s="19">
        <f t="shared" si="117"/>
        <v>5.9027725799999997</v>
      </c>
      <c r="AJ31" s="19">
        <v>0</v>
      </c>
      <c r="AK31" s="19">
        <v>0</v>
      </c>
      <c r="AL31" s="19">
        <v>0</v>
      </c>
      <c r="AM31" s="19">
        <v>5.9027725799999997</v>
      </c>
      <c r="AN31" s="19">
        <v>0</v>
      </c>
      <c r="AO31" s="19">
        <v>0</v>
      </c>
      <c r="AP31" s="19">
        <v>0</v>
      </c>
      <c r="AQ31" s="19">
        <v>0</v>
      </c>
      <c r="AR31" s="19">
        <v>0</v>
      </c>
      <c r="AS31" s="19">
        <f t="shared" si="121"/>
        <v>0</v>
      </c>
      <c r="AT31" s="19">
        <v>0</v>
      </c>
      <c r="AU31" s="19">
        <v>0</v>
      </c>
      <c r="AV31" s="19">
        <v>0</v>
      </c>
      <c r="AW31" s="19">
        <v>0</v>
      </c>
      <c r="AX31" s="21">
        <v>0</v>
      </c>
      <c r="AY31" s="21">
        <v>0</v>
      </c>
      <c r="AZ31" s="21">
        <v>0</v>
      </c>
      <c r="BA31" s="21">
        <v>0</v>
      </c>
      <c r="BB31" s="21">
        <v>0</v>
      </c>
      <c r="BC31" s="21">
        <f t="shared" si="122"/>
        <v>0</v>
      </c>
      <c r="BD31" s="21">
        <v>0</v>
      </c>
      <c r="BE31" s="21">
        <v>0</v>
      </c>
      <c r="BF31" s="21">
        <v>0</v>
      </c>
      <c r="BG31" s="21">
        <v>0</v>
      </c>
      <c r="BH31" s="21">
        <v>0</v>
      </c>
      <c r="BI31" s="21">
        <v>0</v>
      </c>
      <c r="BJ31" s="21">
        <v>0</v>
      </c>
      <c r="BK31" s="21">
        <v>0</v>
      </c>
      <c r="BL31" s="21">
        <v>0</v>
      </c>
      <c r="BM31" s="21">
        <f t="shared" si="123"/>
        <v>0</v>
      </c>
      <c r="BN31" s="21">
        <v>0</v>
      </c>
      <c r="BO31" s="21">
        <v>0</v>
      </c>
      <c r="BP31" s="21">
        <v>0</v>
      </c>
      <c r="BQ31" s="21">
        <v>0</v>
      </c>
      <c r="BR31" s="21">
        <f t="shared" si="124"/>
        <v>0</v>
      </c>
      <c r="BS31" s="21">
        <v>0</v>
      </c>
      <c r="BT31" s="21">
        <v>0</v>
      </c>
      <c r="BU31" s="21">
        <v>0</v>
      </c>
      <c r="BV31" s="21">
        <v>0</v>
      </c>
      <c r="BW31" s="21">
        <f t="shared" si="125"/>
        <v>0</v>
      </c>
      <c r="BX31" s="21">
        <v>0</v>
      </c>
      <c r="BY31" s="21">
        <v>0</v>
      </c>
      <c r="BZ31" s="21">
        <v>0</v>
      </c>
      <c r="CA31" s="21">
        <v>0</v>
      </c>
      <c r="CB31" s="21">
        <v>0</v>
      </c>
      <c r="CC31" s="21">
        <v>0</v>
      </c>
      <c r="CD31" s="21">
        <v>0</v>
      </c>
      <c r="CE31" s="21">
        <v>0</v>
      </c>
      <c r="CF31" s="21">
        <v>0</v>
      </c>
      <c r="CG31" s="21">
        <f t="shared" si="126"/>
        <v>0</v>
      </c>
      <c r="CH31" s="21">
        <v>0</v>
      </c>
      <c r="CI31" s="21">
        <v>0</v>
      </c>
      <c r="CJ31" s="21">
        <v>0</v>
      </c>
      <c r="CK31" s="21">
        <v>0</v>
      </c>
      <c r="CL31" s="21">
        <v>0</v>
      </c>
      <c r="CM31" s="21" t="s">
        <v>103</v>
      </c>
      <c r="CN31" s="21" t="s">
        <v>103</v>
      </c>
      <c r="CO31" s="21" t="s">
        <v>103</v>
      </c>
      <c r="CP31" s="21" t="s">
        <v>103</v>
      </c>
      <c r="CQ31" s="21">
        <f t="shared" si="127"/>
        <v>5.9027725799999997</v>
      </c>
      <c r="CR31" s="21">
        <v>0</v>
      </c>
      <c r="CS31" s="21">
        <v>0</v>
      </c>
      <c r="CT31" s="21">
        <v>0</v>
      </c>
      <c r="CU31" s="21">
        <f t="shared" si="118"/>
        <v>5.9027725799999997</v>
      </c>
      <c r="CV31" s="31" t="s">
        <v>196</v>
      </c>
    </row>
    <row r="32" spans="1:100" s="8" customFormat="1" ht="63" x14ac:dyDescent="0.25">
      <c r="A32" s="17" t="s">
        <v>281</v>
      </c>
      <c r="B32" s="20" t="s">
        <v>289</v>
      </c>
      <c r="C32" s="16" t="s">
        <v>290</v>
      </c>
      <c r="D32" s="16" t="s">
        <v>191</v>
      </c>
      <c r="E32" s="16">
        <v>2024</v>
      </c>
      <c r="F32" s="16" t="s">
        <v>103</v>
      </c>
      <c r="G32" s="16">
        <v>2025</v>
      </c>
      <c r="H32" s="19" t="s">
        <v>103</v>
      </c>
      <c r="I32" s="19">
        <v>0</v>
      </c>
      <c r="J32" s="16" t="s">
        <v>103</v>
      </c>
      <c r="K32" s="16" t="s">
        <v>103</v>
      </c>
      <c r="L32" s="19">
        <f>CU32</f>
        <v>40.014364031999996</v>
      </c>
      <c r="M32" s="16" t="s">
        <v>103</v>
      </c>
      <c r="N32" s="19">
        <v>40.014364031999996</v>
      </c>
      <c r="O32" s="19">
        <v>0</v>
      </c>
      <c r="P32" s="19" t="s">
        <v>103</v>
      </c>
      <c r="Q32" s="19" t="s">
        <v>103</v>
      </c>
      <c r="R32" s="19">
        <f>59825.42290488/1000</f>
        <v>59.82542290488</v>
      </c>
      <c r="S32" s="19">
        <f>68171.9069560314/1000</f>
        <v>68.171906956031393</v>
      </c>
      <c r="T32" s="19" t="s">
        <v>103</v>
      </c>
      <c r="U32" s="19">
        <f t="shared" si="128"/>
        <v>40.014364031999996</v>
      </c>
      <c r="V32" s="26" t="str">
        <f t="shared" si="115"/>
        <v>нд</v>
      </c>
      <c r="W32" s="26" t="s">
        <v>103</v>
      </c>
      <c r="X32" s="19">
        <f t="shared" si="120"/>
        <v>39.068750831999999</v>
      </c>
      <c r="Y32" s="19">
        <v>0</v>
      </c>
      <c r="Z32" s="19">
        <v>0</v>
      </c>
      <c r="AA32" s="19">
        <v>0</v>
      </c>
      <c r="AB32" s="19">
        <v>0</v>
      </c>
      <c r="AC32" s="19">
        <v>0</v>
      </c>
      <c r="AD32" s="19" t="s">
        <v>103</v>
      </c>
      <c r="AE32" s="19" t="s">
        <v>103</v>
      </c>
      <c r="AF32" s="19" t="s">
        <v>103</v>
      </c>
      <c r="AG32" s="19" t="s">
        <v>103</v>
      </c>
      <c r="AH32" s="19" t="s">
        <v>103</v>
      </c>
      <c r="AI32" s="19">
        <f t="shared" si="117"/>
        <v>0.94561320000000004</v>
      </c>
      <c r="AJ32" s="19">
        <v>0</v>
      </c>
      <c r="AK32" s="19">
        <v>0</v>
      </c>
      <c r="AL32" s="19">
        <v>0</v>
      </c>
      <c r="AM32" s="19">
        <v>0.94561320000000004</v>
      </c>
      <c r="AN32" s="19" t="s">
        <v>103</v>
      </c>
      <c r="AO32" s="19" t="s">
        <v>103</v>
      </c>
      <c r="AP32" s="19" t="s">
        <v>103</v>
      </c>
      <c r="AQ32" s="19" t="s">
        <v>103</v>
      </c>
      <c r="AR32" s="19" t="s">
        <v>103</v>
      </c>
      <c r="AS32" s="19">
        <f t="shared" si="121"/>
        <v>39.068750831999999</v>
      </c>
      <c r="AT32" s="19">
        <v>0</v>
      </c>
      <c r="AU32" s="19">
        <v>0</v>
      </c>
      <c r="AV32" s="19">
        <v>0</v>
      </c>
      <c r="AW32" s="19">
        <v>39.068750831999999</v>
      </c>
      <c r="AX32" s="21">
        <v>0</v>
      </c>
      <c r="AY32" s="21">
        <v>0</v>
      </c>
      <c r="AZ32" s="21">
        <v>0</v>
      </c>
      <c r="BA32" s="21">
        <v>0</v>
      </c>
      <c r="BB32" s="21">
        <v>0</v>
      </c>
      <c r="BC32" s="21">
        <f t="shared" si="122"/>
        <v>0</v>
      </c>
      <c r="BD32" s="21">
        <v>0</v>
      </c>
      <c r="BE32" s="21">
        <v>0</v>
      </c>
      <c r="BF32" s="21">
        <v>0</v>
      </c>
      <c r="BG32" s="21">
        <v>0</v>
      </c>
      <c r="BH32" s="21">
        <v>0</v>
      </c>
      <c r="BI32" s="21">
        <v>0</v>
      </c>
      <c r="BJ32" s="21">
        <v>0</v>
      </c>
      <c r="BK32" s="21">
        <v>0</v>
      </c>
      <c r="BL32" s="21">
        <v>0</v>
      </c>
      <c r="BM32" s="21">
        <f t="shared" si="123"/>
        <v>0</v>
      </c>
      <c r="BN32" s="21">
        <v>0</v>
      </c>
      <c r="BO32" s="21">
        <v>0</v>
      </c>
      <c r="BP32" s="21">
        <v>0</v>
      </c>
      <c r="BQ32" s="21">
        <v>0</v>
      </c>
      <c r="BR32" s="21">
        <f t="shared" si="124"/>
        <v>0</v>
      </c>
      <c r="BS32" s="21">
        <v>0</v>
      </c>
      <c r="BT32" s="21">
        <v>0</v>
      </c>
      <c r="BU32" s="21">
        <v>0</v>
      </c>
      <c r="BV32" s="21">
        <v>0</v>
      </c>
      <c r="BW32" s="21">
        <f t="shared" si="125"/>
        <v>0</v>
      </c>
      <c r="BX32" s="21">
        <v>0</v>
      </c>
      <c r="BY32" s="21">
        <v>0</v>
      </c>
      <c r="BZ32" s="21">
        <v>0</v>
      </c>
      <c r="CA32" s="21">
        <v>0</v>
      </c>
      <c r="CB32" s="21">
        <v>0</v>
      </c>
      <c r="CC32" s="21">
        <v>0</v>
      </c>
      <c r="CD32" s="21">
        <v>0</v>
      </c>
      <c r="CE32" s="21">
        <v>0</v>
      </c>
      <c r="CF32" s="21">
        <v>0</v>
      </c>
      <c r="CG32" s="21">
        <f t="shared" si="126"/>
        <v>0</v>
      </c>
      <c r="CH32" s="21">
        <v>0</v>
      </c>
      <c r="CI32" s="21">
        <v>0</v>
      </c>
      <c r="CJ32" s="21">
        <v>0</v>
      </c>
      <c r="CK32" s="21">
        <v>0</v>
      </c>
      <c r="CL32" s="21">
        <v>0</v>
      </c>
      <c r="CM32" s="21" t="s">
        <v>103</v>
      </c>
      <c r="CN32" s="21" t="s">
        <v>103</v>
      </c>
      <c r="CO32" s="21" t="s">
        <v>103</v>
      </c>
      <c r="CP32" s="21" t="s">
        <v>103</v>
      </c>
      <c r="CQ32" s="21">
        <f t="shared" si="127"/>
        <v>40.014364031999996</v>
      </c>
      <c r="CR32" s="21">
        <v>0</v>
      </c>
      <c r="CS32" s="21">
        <v>0</v>
      </c>
      <c r="CT32" s="21">
        <v>0</v>
      </c>
      <c r="CU32" s="21">
        <f t="shared" si="118"/>
        <v>40.014364031999996</v>
      </c>
      <c r="CV32" s="31" t="s">
        <v>196</v>
      </c>
    </row>
    <row r="33" spans="1:100" s="8" customFormat="1" ht="31.5" x14ac:dyDescent="0.25">
      <c r="A33" s="17" t="s">
        <v>312</v>
      </c>
      <c r="B33" s="20" t="s">
        <v>313</v>
      </c>
      <c r="C33" s="16" t="s">
        <v>325</v>
      </c>
      <c r="D33" s="16" t="s">
        <v>191</v>
      </c>
      <c r="E33" s="16">
        <v>2024</v>
      </c>
      <c r="F33" s="16" t="s">
        <v>103</v>
      </c>
      <c r="G33" s="16">
        <v>2025</v>
      </c>
      <c r="H33" s="19" t="s">
        <v>103</v>
      </c>
      <c r="I33" s="19">
        <v>0</v>
      </c>
      <c r="J33" s="16" t="s">
        <v>103</v>
      </c>
      <c r="K33" s="16" t="s">
        <v>103</v>
      </c>
      <c r="L33" s="19">
        <f t="shared" ref="L33:L34" si="129">CU33</f>
        <v>1.3169968919999999</v>
      </c>
      <c r="M33" s="16" t="s">
        <v>103</v>
      </c>
      <c r="N33" s="19">
        <f>L33</f>
        <v>1.3169968919999999</v>
      </c>
      <c r="O33" s="19">
        <v>0</v>
      </c>
      <c r="P33" s="19" t="s">
        <v>103</v>
      </c>
      <c r="Q33" s="19" t="s">
        <v>103</v>
      </c>
      <c r="R33" s="19">
        <f>2782.5730572/1000</f>
        <v>2.7825730572</v>
      </c>
      <c r="S33" s="19">
        <f>3170.7809547022/1000</f>
        <v>3.1707809547021997</v>
      </c>
      <c r="T33" s="19" t="s">
        <v>103</v>
      </c>
      <c r="U33" s="19">
        <f t="shared" si="128"/>
        <v>1.3169968919999999</v>
      </c>
      <c r="V33" s="26" t="str">
        <f t="shared" si="115"/>
        <v>нд</v>
      </c>
      <c r="W33" s="26" t="s">
        <v>103</v>
      </c>
      <c r="X33" s="19">
        <f t="shared" si="120"/>
        <v>1.3169968919999999</v>
      </c>
      <c r="Y33" s="19">
        <v>0</v>
      </c>
      <c r="Z33" s="19">
        <v>0</v>
      </c>
      <c r="AA33" s="19">
        <v>0</v>
      </c>
      <c r="AB33" s="19">
        <v>0</v>
      </c>
      <c r="AC33" s="19">
        <v>0</v>
      </c>
      <c r="AD33" s="19" t="s">
        <v>103</v>
      </c>
      <c r="AE33" s="19" t="s">
        <v>103</v>
      </c>
      <c r="AF33" s="19" t="s">
        <v>103</v>
      </c>
      <c r="AG33" s="19" t="s">
        <v>103</v>
      </c>
      <c r="AH33" s="19" t="s">
        <v>103</v>
      </c>
      <c r="AI33" s="19">
        <f t="shared" si="117"/>
        <v>0</v>
      </c>
      <c r="AJ33" s="19">
        <v>0</v>
      </c>
      <c r="AK33" s="19">
        <v>0</v>
      </c>
      <c r="AL33" s="19">
        <v>0</v>
      </c>
      <c r="AM33" s="19">
        <v>0</v>
      </c>
      <c r="AN33" s="19" t="s">
        <v>103</v>
      </c>
      <c r="AO33" s="19" t="s">
        <v>103</v>
      </c>
      <c r="AP33" s="19" t="s">
        <v>103</v>
      </c>
      <c r="AQ33" s="19" t="s">
        <v>103</v>
      </c>
      <c r="AR33" s="19" t="s">
        <v>103</v>
      </c>
      <c r="AS33" s="19">
        <f t="shared" si="121"/>
        <v>1.3169968919999999</v>
      </c>
      <c r="AT33" s="19">
        <v>0</v>
      </c>
      <c r="AU33" s="19">
        <v>0</v>
      </c>
      <c r="AV33" s="19">
        <v>0</v>
      </c>
      <c r="AW33" s="19">
        <f>1.030514*1.2*1.065</f>
        <v>1.3169968919999999</v>
      </c>
      <c r="AX33" s="21">
        <v>0</v>
      </c>
      <c r="AY33" s="21">
        <v>0</v>
      </c>
      <c r="AZ33" s="21">
        <v>0</v>
      </c>
      <c r="BA33" s="21">
        <v>0</v>
      </c>
      <c r="BB33" s="21">
        <v>0</v>
      </c>
      <c r="BC33" s="21">
        <v>0</v>
      </c>
      <c r="BD33" s="21">
        <v>0</v>
      </c>
      <c r="BE33" s="21">
        <v>0</v>
      </c>
      <c r="BF33" s="21">
        <v>0</v>
      </c>
      <c r="BG33" s="21">
        <v>0</v>
      </c>
      <c r="BH33" s="21">
        <v>0</v>
      </c>
      <c r="BI33" s="21">
        <v>0</v>
      </c>
      <c r="BJ33" s="21">
        <v>0</v>
      </c>
      <c r="BK33" s="21">
        <v>0</v>
      </c>
      <c r="BL33" s="21">
        <v>0</v>
      </c>
      <c r="BM33" s="21">
        <v>0</v>
      </c>
      <c r="BN33" s="21">
        <v>0</v>
      </c>
      <c r="BO33" s="21">
        <v>0</v>
      </c>
      <c r="BP33" s="21">
        <v>0</v>
      </c>
      <c r="BQ33" s="21">
        <v>0</v>
      </c>
      <c r="BR33" s="21">
        <v>0</v>
      </c>
      <c r="BS33" s="21">
        <v>0</v>
      </c>
      <c r="BT33" s="21">
        <v>0</v>
      </c>
      <c r="BU33" s="21">
        <v>0</v>
      </c>
      <c r="BV33" s="21">
        <v>0</v>
      </c>
      <c r="BW33" s="21">
        <v>0</v>
      </c>
      <c r="BX33" s="21">
        <v>0</v>
      </c>
      <c r="BY33" s="21">
        <v>0</v>
      </c>
      <c r="BZ33" s="21">
        <v>0</v>
      </c>
      <c r="CA33" s="21">
        <v>0</v>
      </c>
      <c r="CB33" s="21">
        <v>0</v>
      </c>
      <c r="CC33" s="21">
        <v>0</v>
      </c>
      <c r="CD33" s="21">
        <v>0</v>
      </c>
      <c r="CE33" s="21">
        <v>0</v>
      </c>
      <c r="CF33" s="21">
        <v>0</v>
      </c>
      <c r="CG33" s="21">
        <v>0</v>
      </c>
      <c r="CH33" s="21">
        <v>0</v>
      </c>
      <c r="CI33" s="21">
        <v>0</v>
      </c>
      <c r="CJ33" s="21">
        <v>0</v>
      </c>
      <c r="CK33" s="21">
        <v>0</v>
      </c>
      <c r="CL33" s="21">
        <v>0</v>
      </c>
      <c r="CM33" s="21" t="s">
        <v>103</v>
      </c>
      <c r="CN33" s="21" t="s">
        <v>103</v>
      </c>
      <c r="CO33" s="21" t="s">
        <v>103</v>
      </c>
      <c r="CP33" s="21" t="s">
        <v>103</v>
      </c>
      <c r="CQ33" s="21">
        <f t="shared" si="127"/>
        <v>1.3169968919999999</v>
      </c>
      <c r="CR33" s="19">
        <v>0</v>
      </c>
      <c r="CS33" s="19">
        <v>0</v>
      </c>
      <c r="CT33" s="19">
        <v>0</v>
      </c>
      <c r="CU33" s="21">
        <f t="shared" si="118"/>
        <v>1.3169968919999999</v>
      </c>
      <c r="CV33" s="32" t="s">
        <v>196</v>
      </c>
    </row>
    <row r="34" spans="1:100" s="8" customFormat="1" ht="31.5" x14ac:dyDescent="0.25">
      <c r="A34" s="17" t="s">
        <v>314</v>
      </c>
      <c r="B34" s="20" t="s">
        <v>315</v>
      </c>
      <c r="C34" s="16" t="s">
        <v>326</v>
      </c>
      <c r="D34" s="16" t="s">
        <v>191</v>
      </c>
      <c r="E34" s="16">
        <v>2024</v>
      </c>
      <c r="F34" s="16" t="s">
        <v>103</v>
      </c>
      <c r="G34" s="16">
        <v>2024</v>
      </c>
      <c r="H34" s="19" t="s">
        <v>103</v>
      </c>
      <c r="I34" s="19">
        <v>0</v>
      </c>
      <c r="J34" s="16" t="s">
        <v>103</v>
      </c>
      <c r="K34" s="16" t="s">
        <v>103</v>
      </c>
      <c r="L34" s="19">
        <f t="shared" si="129"/>
        <v>2.1023457840000002</v>
      </c>
      <c r="M34" s="16" t="s">
        <v>103</v>
      </c>
      <c r="N34" s="19">
        <f>L34</f>
        <v>2.1023457840000002</v>
      </c>
      <c r="O34" s="19">
        <v>0</v>
      </c>
      <c r="P34" s="19" t="s">
        <v>103</v>
      </c>
      <c r="Q34" s="19" t="s">
        <v>103</v>
      </c>
      <c r="R34" s="19">
        <f>2796.406548/1000</f>
        <v>2.7964065479999998</v>
      </c>
      <c r="S34" s="19">
        <f>3186.54441113767/1000</f>
        <v>3.1865444111376702</v>
      </c>
      <c r="T34" s="19" t="s">
        <v>103</v>
      </c>
      <c r="U34" s="19">
        <f t="shared" si="128"/>
        <v>2.1023457840000002</v>
      </c>
      <c r="V34" s="26" t="str">
        <f t="shared" si="115"/>
        <v>нд</v>
      </c>
      <c r="W34" s="26" t="s">
        <v>103</v>
      </c>
      <c r="X34" s="19">
        <f t="shared" si="120"/>
        <v>2.1023457840000002</v>
      </c>
      <c r="Y34" s="19">
        <v>0</v>
      </c>
      <c r="Z34" s="19">
        <v>0</v>
      </c>
      <c r="AA34" s="19">
        <v>0</v>
      </c>
      <c r="AB34" s="19">
        <v>0</v>
      </c>
      <c r="AC34" s="19">
        <v>0</v>
      </c>
      <c r="AD34" s="19" t="s">
        <v>103</v>
      </c>
      <c r="AE34" s="19" t="s">
        <v>103</v>
      </c>
      <c r="AF34" s="19" t="s">
        <v>103</v>
      </c>
      <c r="AG34" s="19" t="s">
        <v>103</v>
      </c>
      <c r="AH34" s="19" t="s">
        <v>103</v>
      </c>
      <c r="AI34" s="19">
        <f t="shared" si="117"/>
        <v>0</v>
      </c>
      <c r="AJ34" s="19">
        <v>0</v>
      </c>
      <c r="AK34" s="19">
        <v>0</v>
      </c>
      <c r="AL34" s="19">
        <v>0</v>
      </c>
      <c r="AM34" s="19">
        <v>0</v>
      </c>
      <c r="AN34" s="19" t="s">
        <v>103</v>
      </c>
      <c r="AO34" s="19" t="s">
        <v>103</v>
      </c>
      <c r="AP34" s="19" t="s">
        <v>103</v>
      </c>
      <c r="AQ34" s="19" t="s">
        <v>103</v>
      </c>
      <c r="AR34" s="19" t="s">
        <v>103</v>
      </c>
      <c r="AS34" s="19">
        <f t="shared" si="121"/>
        <v>2.1023457840000002</v>
      </c>
      <c r="AT34" s="19">
        <v>0</v>
      </c>
      <c r="AU34" s="19">
        <v>0</v>
      </c>
      <c r="AV34" s="19">
        <v>0</v>
      </c>
      <c r="AW34" s="19">
        <v>2.1023457840000002</v>
      </c>
      <c r="AX34" s="21">
        <v>0</v>
      </c>
      <c r="AY34" s="21">
        <v>0</v>
      </c>
      <c r="AZ34" s="21">
        <v>0</v>
      </c>
      <c r="BA34" s="21">
        <v>0</v>
      </c>
      <c r="BB34" s="21">
        <v>0</v>
      </c>
      <c r="BC34" s="21">
        <v>0</v>
      </c>
      <c r="BD34" s="21">
        <v>0</v>
      </c>
      <c r="BE34" s="21">
        <v>0</v>
      </c>
      <c r="BF34" s="21">
        <v>0</v>
      </c>
      <c r="BG34" s="21">
        <v>0</v>
      </c>
      <c r="BH34" s="21">
        <v>0</v>
      </c>
      <c r="BI34" s="21">
        <v>0</v>
      </c>
      <c r="BJ34" s="21">
        <v>0</v>
      </c>
      <c r="BK34" s="21">
        <v>0</v>
      </c>
      <c r="BL34" s="21">
        <v>0</v>
      </c>
      <c r="BM34" s="21">
        <v>0</v>
      </c>
      <c r="BN34" s="21">
        <v>0</v>
      </c>
      <c r="BO34" s="21">
        <v>0</v>
      </c>
      <c r="BP34" s="21">
        <v>0</v>
      </c>
      <c r="BQ34" s="21">
        <v>0</v>
      </c>
      <c r="BR34" s="21">
        <v>0</v>
      </c>
      <c r="BS34" s="21">
        <v>0</v>
      </c>
      <c r="BT34" s="21">
        <v>0</v>
      </c>
      <c r="BU34" s="21">
        <v>0</v>
      </c>
      <c r="BV34" s="21">
        <v>0</v>
      </c>
      <c r="BW34" s="21">
        <v>0</v>
      </c>
      <c r="BX34" s="21">
        <v>0</v>
      </c>
      <c r="BY34" s="21">
        <v>0</v>
      </c>
      <c r="BZ34" s="21">
        <v>0</v>
      </c>
      <c r="CA34" s="21">
        <v>0</v>
      </c>
      <c r="CB34" s="21">
        <v>0</v>
      </c>
      <c r="CC34" s="21">
        <v>0</v>
      </c>
      <c r="CD34" s="21">
        <v>0</v>
      </c>
      <c r="CE34" s="21">
        <v>0</v>
      </c>
      <c r="CF34" s="21">
        <v>0</v>
      </c>
      <c r="CG34" s="21">
        <v>0</v>
      </c>
      <c r="CH34" s="21">
        <v>0</v>
      </c>
      <c r="CI34" s="21">
        <v>0</v>
      </c>
      <c r="CJ34" s="21">
        <v>0</v>
      </c>
      <c r="CK34" s="21">
        <v>0</v>
      </c>
      <c r="CL34" s="21">
        <v>0</v>
      </c>
      <c r="CM34" s="21" t="s">
        <v>103</v>
      </c>
      <c r="CN34" s="21" t="s">
        <v>103</v>
      </c>
      <c r="CO34" s="21" t="s">
        <v>103</v>
      </c>
      <c r="CP34" s="21" t="s">
        <v>103</v>
      </c>
      <c r="CQ34" s="21">
        <f t="shared" si="127"/>
        <v>2.1023457840000002</v>
      </c>
      <c r="CR34" s="19">
        <v>0</v>
      </c>
      <c r="CS34" s="19">
        <v>0</v>
      </c>
      <c r="CT34" s="19">
        <v>0</v>
      </c>
      <c r="CU34" s="21">
        <f t="shared" si="118"/>
        <v>2.1023457840000002</v>
      </c>
      <c r="CV34" s="32" t="s">
        <v>196</v>
      </c>
    </row>
    <row r="35" spans="1:100" s="8" customFormat="1" ht="47.25" x14ac:dyDescent="0.25">
      <c r="A35" s="17" t="s">
        <v>32</v>
      </c>
      <c r="B35" s="18" t="s">
        <v>33</v>
      </c>
      <c r="C35" s="16" t="s">
        <v>103</v>
      </c>
      <c r="D35" s="16" t="s">
        <v>103</v>
      </c>
      <c r="E35" s="16" t="s">
        <v>103</v>
      </c>
      <c r="F35" s="16" t="s">
        <v>103</v>
      </c>
      <c r="G35" s="16" t="s">
        <v>103</v>
      </c>
      <c r="H35" s="19">
        <v>0</v>
      </c>
      <c r="I35" s="19">
        <v>0</v>
      </c>
      <c r="J35" s="16" t="s">
        <v>103</v>
      </c>
      <c r="K35" s="16"/>
      <c r="L35" s="16"/>
      <c r="M35" s="16"/>
      <c r="N35" s="16" t="s">
        <v>103</v>
      </c>
      <c r="O35" s="16" t="s">
        <v>103</v>
      </c>
      <c r="P35" s="19">
        <v>0</v>
      </c>
      <c r="Q35" s="19">
        <v>0</v>
      </c>
      <c r="R35" s="19"/>
      <c r="S35" s="19"/>
      <c r="T35" s="19" t="s">
        <v>103</v>
      </c>
      <c r="U35" s="19">
        <f t="shared" si="128"/>
        <v>0</v>
      </c>
      <c r="V35" s="19" t="s">
        <v>103</v>
      </c>
      <c r="W35" s="19">
        <v>0</v>
      </c>
      <c r="X35" s="19">
        <f t="shared" si="120"/>
        <v>0</v>
      </c>
      <c r="Y35" s="19" t="s">
        <v>103</v>
      </c>
      <c r="Z35" s="19" t="s">
        <v>103</v>
      </c>
      <c r="AA35" s="19" t="s">
        <v>103</v>
      </c>
      <c r="AB35" s="19" t="s">
        <v>103</v>
      </c>
      <c r="AC35" s="19" t="s">
        <v>103</v>
      </c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>
        <v>0</v>
      </c>
      <c r="AO35" s="19" t="s">
        <v>103</v>
      </c>
      <c r="AP35" s="19">
        <v>0</v>
      </c>
      <c r="AQ35" s="19">
        <v>0</v>
      </c>
      <c r="AR35" s="19">
        <v>0</v>
      </c>
      <c r="AS35" s="19">
        <f t="shared" si="121"/>
        <v>0</v>
      </c>
      <c r="AT35" s="19">
        <v>0</v>
      </c>
      <c r="AU35" s="19">
        <v>0</v>
      </c>
      <c r="AV35" s="19">
        <v>0</v>
      </c>
      <c r="AW35" s="19">
        <v>0</v>
      </c>
      <c r="AX35" s="21">
        <f t="shared" ref="AX35:CP35" si="130">AX36+AX37</f>
        <v>0</v>
      </c>
      <c r="AY35" s="21">
        <f t="shared" si="130"/>
        <v>0</v>
      </c>
      <c r="AZ35" s="21">
        <f t="shared" si="130"/>
        <v>0</v>
      </c>
      <c r="BA35" s="21">
        <f t="shared" si="130"/>
        <v>0</v>
      </c>
      <c r="BB35" s="21">
        <f t="shared" si="130"/>
        <v>0</v>
      </c>
      <c r="BC35" s="21"/>
      <c r="BD35" s="21"/>
      <c r="BE35" s="21"/>
      <c r="BF35" s="21"/>
      <c r="BG35" s="21"/>
      <c r="BH35" s="21">
        <f t="shared" si="130"/>
        <v>0</v>
      </c>
      <c r="BI35" s="21">
        <f t="shared" si="130"/>
        <v>0</v>
      </c>
      <c r="BJ35" s="21">
        <f t="shared" si="130"/>
        <v>0</v>
      </c>
      <c r="BK35" s="21">
        <f t="shared" si="130"/>
        <v>0</v>
      </c>
      <c r="BL35" s="21">
        <f t="shared" si="130"/>
        <v>0</v>
      </c>
      <c r="BM35" s="21"/>
      <c r="BN35" s="21"/>
      <c r="BO35" s="21"/>
      <c r="BP35" s="21"/>
      <c r="BQ35" s="21"/>
      <c r="BR35" s="21">
        <f t="shared" si="130"/>
        <v>0</v>
      </c>
      <c r="BS35" s="21">
        <f t="shared" si="130"/>
        <v>0</v>
      </c>
      <c r="BT35" s="21">
        <f t="shared" si="130"/>
        <v>0</v>
      </c>
      <c r="BU35" s="21">
        <f t="shared" si="130"/>
        <v>0</v>
      </c>
      <c r="BV35" s="21">
        <f t="shared" si="130"/>
        <v>0</v>
      </c>
      <c r="BW35" s="21"/>
      <c r="BX35" s="21"/>
      <c r="BY35" s="21"/>
      <c r="BZ35" s="21"/>
      <c r="CA35" s="21"/>
      <c r="CB35" s="21">
        <f t="shared" si="130"/>
        <v>0</v>
      </c>
      <c r="CC35" s="21">
        <f t="shared" si="130"/>
        <v>0</v>
      </c>
      <c r="CD35" s="21">
        <f t="shared" si="130"/>
        <v>0</v>
      </c>
      <c r="CE35" s="21">
        <f t="shared" si="130"/>
        <v>0</v>
      </c>
      <c r="CF35" s="21">
        <f t="shared" si="130"/>
        <v>0</v>
      </c>
      <c r="CG35" s="21"/>
      <c r="CH35" s="21"/>
      <c r="CI35" s="21"/>
      <c r="CJ35" s="21"/>
      <c r="CK35" s="21"/>
      <c r="CL35" s="21">
        <v>0</v>
      </c>
      <c r="CM35" s="21">
        <f t="shared" si="130"/>
        <v>0</v>
      </c>
      <c r="CN35" s="21">
        <f t="shared" si="130"/>
        <v>0</v>
      </c>
      <c r="CO35" s="21">
        <f t="shared" si="130"/>
        <v>0</v>
      </c>
      <c r="CP35" s="21">
        <f t="shared" si="130"/>
        <v>0</v>
      </c>
      <c r="CQ35" s="19"/>
      <c r="CR35" s="19"/>
      <c r="CS35" s="19"/>
      <c r="CT35" s="19"/>
      <c r="CU35" s="21">
        <f t="shared" si="118"/>
        <v>0</v>
      </c>
      <c r="CV35" s="16" t="s">
        <v>103</v>
      </c>
    </row>
    <row r="36" spans="1:100" s="8" customFormat="1" ht="78.75" x14ac:dyDescent="0.25">
      <c r="A36" s="17" t="s">
        <v>34</v>
      </c>
      <c r="B36" s="18" t="s">
        <v>35</v>
      </c>
      <c r="C36" s="16" t="s">
        <v>103</v>
      </c>
      <c r="D36" s="16" t="s">
        <v>103</v>
      </c>
      <c r="E36" s="16" t="s">
        <v>103</v>
      </c>
      <c r="F36" s="16" t="s">
        <v>103</v>
      </c>
      <c r="G36" s="16" t="s">
        <v>103</v>
      </c>
      <c r="H36" s="19">
        <v>0</v>
      </c>
      <c r="I36" s="19">
        <v>0</v>
      </c>
      <c r="J36" s="16" t="s">
        <v>103</v>
      </c>
      <c r="K36" s="16"/>
      <c r="L36" s="16"/>
      <c r="M36" s="16"/>
      <c r="N36" s="16" t="s">
        <v>103</v>
      </c>
      <c r="O36" s="16" t="s">
        <v>103</v>
      </c>
      <c r="P36" s="19">
        <v>0</v>
      </c>
      <c r="Q36" s="19">
        <v>0</v>
      </c>
      <c r="R36" s="19"/>
      <c r="S36" s="19"/>
      <c r="T36" s="19" t="s">
        <v>103</v>
      </c>
      <c r="U36" s="19">
        <f t="shared" si="128"/>
        <v>0</v>
      </c>
      <c r="V36" s="19" t="s">
        <v>103</v>
      </c>
      <c r="W36" s="19">
        <v>0</v>
      </c>
      <c r="X36" s="19">
        <f t="shared" si="120"/>
        <v>0</v>
      </c>
      <c r="Y36" s="19" t="s">
        <v>103</v>
      </c>
      <c r="Z36" s="19" t="s">
        <v>103</v>
      </c>
      <c r="AA36" s="19" t="s">
        <v>103</v>
      </c>
      <c r="AB36" s="19" t="s">
        <v>103</v>
      </c>
      <c r="AC36" s="19" t="s">
        <v>103</v>
      </c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>
        <v>0</v>
      </c>
      <c r="AO36" s="19" t="s">
        <v>103</v>
      </c>
      <c r="AP36" s="19">
        <v>0</v>
      </c>
      <c r="AQ36" s="19">
        <v>0</v>
      </c>
      <c r="AR36" s="19">
        <v>0</v>
      </c>
      <c r="AS36" s="19">
        <f t="shared" si="121"/>
        <v>0</v>
      </c>
      <c r="AT36" s="19">
        <v>0</v>
      </c>
      <c r="AU36" s="19">
        <v>0</v>
      </c>
      <c r="AV36" s="19">
        <v>0</v>
      </c>
      <c r="AW36" s="19">
        <v>0</v>
      </c>
      <c r="AX36" s="21"/>
      <c r="AY36" s="21"/>
      <c r="AZ36" s="21"/>
      <c r="BA36" s="21"/>
      <c r="BB36" s="21"/>
      <c r="BC36" s="21"/>
      <c r="BD36" s="21"/>
      <c r="BE36" s="21"/>
      <c r="BF36" s="21"/>
      <c r="BG36" s="21"/>
      <c r="BH36" s="21"/>
      <c r="BI36" s="21"/>
      <c r="BJ36" s="21"/>
      <c r="BK36" s="21"/>
      <c r="BL36" s="21"/>
      <c r="BM36" s="21"/>
      <c r="BN36" s="21"/>
      <c r="BO36" s="21"/>
      <c r="BP36" s="21"/>
      <c r="BQ36" s="21"/>
      <c r="BR36" s="21"/>
      <c r="BS36" s="21"/>
      <c r="BT36" s="21"/>
      <c r="BU36" s="21"/>
      <c r="BV36" s="21"/>
      <c r="BW36" s="21"/>
      <c r="BX36" s="21"/>
      <c r="BY36" s="21"/>
      <c r="BZ36" s="21"/>
      <c r="CA36" s="21"/>
      <c r="CB36" s="21"/>
      <c r="CC36" s="21"/>
      <c r="CD36" s="21"/>
      <c r="CE36" s="21"/>
      <c r="CF36" s="21"/>
      <c r="CG36" s="21"/>
      <c r="CH36" s="21"/>
      <c r="CI36" s="21"/>
      <c r="CJ36" s="21"/>
      <c r="CK36" s="21"/>
      <c r="CL36" s="21">
        <v>0</v>
      </c>
      <c r="CM36" s="21"/>
      <c r="CN36" s="21"/>
      <c r="CO36" s="21"/>
      <c r="CP36" s="21"/>
      <c r="CQ36" s="19"/>
      <c r="CR36" s="19"/>
      <c r="CS36" s="19"/>
      <c r="CT36" s="19"/>
      <c r="CU36" s="21">
        <f t="shared" si="118"/>
        <v>0</v>
      </c>
      <c r="CV36" s="16" t="s">
        <v>103</v>
      </c>
    </row>
    <row r="37" spans="1:100" s="8" customFormat="1" ht="47.25" x14ac:dyDescent="0.25">
      <c r="A37" s="17" t="s">
        <v>36</v>
      </c>
      <c r="B37" s="18" t="s">
        <v>37</v>
      </c>
      <c r="C37" s="16" t="s">
        <v>103</v>
      </c>
      <c r="D37" s="16" t="s">
        <v>103</v>
      </c>
      <c r="E37" s="16" t="s">
        <v>103</v>
      </c>
      <c r="F37" s="16" t="s">
        <v>103</v>
      </c>
      <c r="G37" s="16" t="s">
        <v>103</v>
      </c>
      <c r="H37" s="19">
        <v>0</v>
      </c>
      <c r="I37" s="19">
        <v>0</v>
      </c>
      <c r="J37" s="16" t="s">
        <v>103</v>
      </c>
      <c r="K37" s="16"/>
      <c r="L37" s="16"/>
      <c r="M37" s="16"/>
      <c r="N37" s="16" t="s">
        <v>103</v>
      </c>
      <c r="O37" s="16" t="s">
        <v>103</v>
      </c>
      <c r="P37" s="19">
        <v>0</v>
      </c>
      <c r="Q37" s="19">
        <v>0</v>
      </c>
      <c r="R37" s="19"/>
      <c r="S37" s="19"/>
      <c r="T37" s="19" t="s">
        <v>103</v>
      </c>
      <c r="U37" s="19">
        <f t="shared" si="128"/>
        <v>0</v>
      </c>
      <c r="V37" s="19" t="s">
        <v>103</v>
      </c>
      <c r="W37" s="19">
        <v>0</v>
      </c>
      <c r="X37" s="19">
        <f t="shared" si="120"/>
        <v>0</v>
      </c>
      <c r="Y37" s="16" t="s">
        <v>103</v>
      </c>
      <c r="Z37" s="16" t="s">
        <v>103</v>
      </c>
      <c r="AA37" s="16" t="s">
        <v>103</v>
      </c>
      <c r="AB37" s="16" t="s">
        <v>103</v>
      </c>
      <c r="AC37" s="16" t="s">
        <v>103</v>
      </c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9">
        <v>0</v>
      </c>
      <c r="AO37" s="19" t="s">
        <v>103</v>
      </c>
      <c r="AP37" s="19">
        <v>0</v>
      </c>
      <c r="AQ37" s="19">
        <v>0</v>
      </c>
      <c r="AR37" s="19">
        <v>0</v>
      </c>
      <c r="AS37" s="19">
        <f t="shared" si="121"/>
        <v>0</v>
      </c>
      <c r="AT37" s="19">
        <v>0</v>
      </c>
      <c r="AU37" s="19">
        <v>0</v>
      </c>
      <c r="AV37" s="19">
        <v>0</v>
      </c>
      <c r="AW37" s="19">
        <v>0</v>
      </c>
      <c r="AX37" s="21"/>
      <c r="AY37" s="21"/>
      <c r="AZ37" s="21"/>
      <c r="BA37" s="21"/>
      <c r="BB37" s="21"/>
      <c r="BC37" s="21"/>
      <c r="BD37" s="21"/>
      <c r="BE37" s="21"/>
      <c r="BF37" s="21"/>
      <c r="BG37" s="21"/>
      <c r="BH37" s="21"/>
      <c r="BI37" s="21"/>
      <c r="BJ37" s="21"/>
      <c r="BK37" s="21"/>
      <c r="BL37" s="21"/>
      <c r="BM37" s="21"/>
      <c r="BN37" s="21"/>
      <c r="BO37" s="21"/>
      <c r="BP37" s="21"/>
      <c r="BQ37" s="21"/>
      <c r="BR37" s="21"/>
      <c r="BS37" s="21"/>
      <c r="BT37" s="21"/>
      <c r="BU37" s="21"/>
      <c r="BV37" s="21"/>
      <c r="BW37" s="21"/>
      <c r="BX37" s="21"/>
      <c r="BY37" s="21"/>
      <c r="BZ37" s="21"/>
      <c r="CA37" s="21"/>
      <c r="CB37" s="21"/>
      <c r="CC37" s="21"/>
      <c r="CD37" s="21"/>
      <c r="CE37" s="21"/>
      <c r="CF37" s="21"/>
      <c r="CG37" s="21"/>
      <c r="CH37" s="21"/>
      <c r="CI37" s="21"/>
      <c r="CJ37" s="21"/>
      <c r="CK37" s="21"/>
      <c r="CL37" s="21">
        <v>0</v>
      </c>
      <c r="CM37" s="21"/>
      <c r="CN37" s="21"/>
      <c r="CO37" s="21"/>
      <c r="CP37" s="21"/>
      <c r="CQ37" s="19"/>
      <c r="CR37" s="19"/>
      <c r="CS37" s="19"/>
      <c r="CT37" s="19"/>
      <c r="CU37" s="21">
        <f t="shared" si="118"/>
        <v>0</v>
      </c>
      <c r="CV37" s="16" t="s">
        <v>103</v>
      </c>
    </row>
    <row r="38" spans="1:100" s="8" customFormat="1" ht="47.25" x14ac:dyDescent="0.25">
      <c r="A38" s="17" t="s">
        <v>38</v>
      </c>
      <c r="B38" s="18" t="s">
        <v>39</v>
      </c>
      <c r="C38" s="16" t="s">
        <v>103</v>
      </c>
      <c r="D38" s="16" t="s">
        <v>103</v>
      </c>
      <c r="E38" s="16" t="s">
        <v>103</v>
      </c>
      <c r="F38" s="16" t="s">
        <v>103</v>
      </c>
      <c r="G38" s="16" t="s">
        <v>103</v>
      </c>
      <c r="H38" s="19">
        <v>0</v>
      </c>
      <c r="I38" s="19">
        <v>0</v>
      </c>
      <c r="J38" s="16" t="s">
        <v>103</v>
      </c>
      <c r="K38" s="16"/>
      <c r="L38" s="16"/>
      <c r="M38" s="16"/>
      <c r="N38" s="16" t="s">
        <v>103</v>
      </c>
      <c r="O38" s="16" t="s">
        <v>103</v>
      </c>
      <c r="P38" s="19">
        <v>0</v>
      </c>
      <c r="Q38" s="19">
        <v>0</v>
      </c>
      <c r="R38" s="19"/>
      <c r="S38" s="19"/>
      <c r="T38" s="19" t="s">
        <v>103</v>
      </c>
      <c r="U38" s="19">
        <f t="shared" si="128"/>
        <v>0</v>
      </c>
      <c r="V38" s="19" t="s">
        <v>103</v>
      </c>
      <c r="W38" s="19">
        <v>0</v>
      </c>
      <c r="X38" s="19">
        <f t="shared" si="120"/>
        <v>0</v>
      </c>
      <c r="Y38" s="19" t="s">
        <v>103</v>
      </c>
      <c r="Z38" s="19" t="s">
        <v>103</v>
      </c>
      <c r="AA38" s="19" t="s">
        <v>103</v>
      </c>
      <c r="AB38" s="19" t="s">
        <v>103</v>
      </c>
      <c r="AC38" s="19" t="s">
        <v>103</v>
      </c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>
        <v>0</v>
      </c>
      <c r="AO38" s="19" t="s">
        <v>103</v>
      </c>
      <c r="AP38" s="19">
        <v>0</v>
      </c>
      <c r="AQ38" s="19">
        <v>0</v>
      </c>
      <c r="AR38" s="19">
        <v>0</v>
      </c>
      <c r="AS38" s="19">
        <f t="shared" si="121"/>
        <v>0</v>
      </c>
      <c r="AT38" s="19">
        <v>0</v>
      </c>
      <c r="AU38" s="19">
        <v>0</v>
      </c>
      <c r="AV38" s="19">
        <v>0</v>
      </c>
      <c r="AW38" s="19">
        <v>0</v>
      </c>
      <c r="AX38" s="21"/>
      <c r="AY38" s="21"/>
      <c r="AZ38" s="21"/>
      <c r="BA38" s="21"/>
      <c r="BB38" s="21"/>
      <c r="BC38" s="21"/>
      <c r="BD38" s="21"/>
      <c r="BE38" s="21"/>
      <c r="BF38" s="21"/>
      <c r="BG38" s="21"/>
      <c r="BH38" s="21"/>
      <c r="BI38" s="21"/>
      <c r="BJ38" s="21"/>
      <c r="BK38" s="21"/>
      <c r="BL38" s="21"/>
      <c r="BM38" s="21"/>
      <c r="BN38" s="21"/>
      <c r="BO38" s="21"/>
      <c r="BP38" s="21"/>
      <c r="BQ38" s="21"/>
      <c r="BR38" s="21"/>
      <c r="BS38" s="21"/>
      <c r="BT38" s="21"/>
      <c r="BU38" s="21"/>
      <c r="BV38" s="21"/>
      <c r="BW38" s="21"/>
      <c r="BX38" s="21"/>
      <c r="BY38" s="21"/>
      <c r="BZ38" s="21"/>
      <c r="CA38" s="21"/>
      <c r="CB38" s="21"/>
      <c r="CC38" s="21"/>
      <c r="CD38" s="21"/>
      <c r="CE38" s="21"/>
      <c r="CF38" s="21"/>
      <c r="CG38" s="21"/>
      <c r="CH38" s="21"/>
      <c r="CI38" s="21"/>
      <c r="CJ38" s="21"/>
      <c r="CK38" s="21"/>
      <c r="CL38" s="21">
        <v>0</v>
      </c>
      <c r="CM38" s="21"/>
      <c r="CN38" s="21"/>
      <c r="CO38" s="21"/>
      <c r="CP38" s="21"/>
      <c r="CQ38" s="19"/>
      <c r="CR38" s="19"/>
      <c r="CS38" s="19"/>
      <c r="CT38" s="19"/>
      <c r="CU38" s="21">
        <f t="shared" si="118"/>
        <v>0</v>
      </c>
      <c r="CV38" s="16" t="s">
        <v>103</v>
      </c>
    </row>
    <row r="39" spans="1:100" s="8" customFormat="1" ht="31.5" x14ac:dyDescent="0.25">
      <c r="A39" s="17" t="s">
        <v>40</v>
      </c>
      <c r="B39" s="18" t="s">
        <v>41</v>
      </c>
      <c r="C39" s="16" t="s">
        <v>103</v>
      </c>
      <c r="D39" s="16" t="s">
        <v>103</v>
      </c>
      <c r="E39" s="16" t="s">
        <v>103</v>
      </c>
      <c r="F39" s="16" t="s">
        <v>103</v>
      </c>
      <c r="G39" s="16" t="s">
        <v>103</v>
      </c>
      <c r="H39" s="19">
        <v>0</v>
      </c>
      <c r="I39" s="19">
        <v>0</v>
      </c>
      <c r="J39" s="16" t="s">
        <v>103</v>
      </c>
      <c r="K39" s="16"/>
      <c r="L39" s="16"/>
      <c r="M39" s="16"/>
      <c r="N39" s="16" t="s">
        <v>103</v>
      </c>
      <c r="O39" s="16" t="s">
        <v>103</v>
      </c>
      <c r="P39" s="19">
        <v>0</v>
      </c>
      <c r="Q39" s="19">
        <v>0</v>
      </c>
      <c r="R39" s="19"/>
      <c r="S39" s="19"/>
      <c r="T39" s="19" t="s">
        <v>103</v>
      </c>
      <c r="U39" s="19">
        <f t="shared" si="128"/>
        <v>0</v>
      </c>
      <c r="V39" s="19" t="s">
        <v>103</v>
      </c>
      <c r="W39" s="19">
        <v>0</v>
      </c>
      <c r="X39" s="19">
        <f t="shared" si="120"/>
        <v>0</v>
      </c>
      <c r="Y39" s="19" t="s">
        <v>103</v>
      </c>
      <c r="Z39" s="19" t="s">
        <v>103</v>
      </c>
      <c r="AA39" s="19" t="s">
        <v>103</v>
      </c>
      <c r="AB39" s="19" t="s">
        <v>103</v>
      </c>
      <c r="AC39" s="19" t="s">
        <v>103</v>
      </c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>
        <v>0</v>
      </c>
      <c r="AO39" s="19" t="s">
        <v>103</v>
      </c>
      <c r="AP39" s="19">
        <v>0</v>
      </c>
      <c r="AQ39" s="19">
        <v>0</v>
      </c>
      <c r="AR39" s="19">
        <v>0</v>
      </c>
      <c r="AS39" s="19">
        <f t="shared" si="121"/>
        <v>0</v>
      </c>
      <c r="AT39" s="19">
        <v>0</v>
      </c>
      <c r="AU39" s="19">
        <v>0</v>
      </c>
      <c r="AV39" s="19">
        <v>0</v>
      </c>
      <c r="AW39" s="19">
        <v>0</v>
      </c>
      <c r="AX39" s="21"/>
      <c r="AY39" s="21"/>
      <c r="AZ39" s="21"/>
      <c r="BA39" s="21"/>
      <c r="BB39" s="21"/>
      <c r="BC39" s="21"/>
      <c r="BD39" s="21"/>
      <c r="BE39" s="21"/>
      <c r="BF39" s="21"/>
      <c r="BG39" s="21"/>
      <c r="BH39" s="21"/>
      <c r="BI39" s="21"/>
      <c r="BJ39" s="21"/>
      <c r="BK39" s="21"/>
      <c r="BL39" s="21"/>
      <c r="BM39" s="21"/>
      <c r="BN39" s="21"/>
      <c r="BO39" s="21"/>
      <c r="BP39" s="21"/>
      <c r="BQ39" s="21"/>
      <c r="BR39" s="21"/>
      <c r="BS39" s="21"/>
      <c r="BT39" s="21"/>
      <c r="BU39" s="21"/>
      <c r="BV39" s="21"/>
      <c r="BW39" s="21"/>
      <c r="BX39" s="21"/>
      <c r="BY39" s="21"/>
      <c r="BZ39" s="21"/>
      <c r="CA39" s="21"/>
      <c r="CB39" s="21"/>
      <c r="CC39" s="21"/>
      <c r="CD39" s="21"/>
      <c r="CE39" s="21"/>
      <c r="CF39" s="21"/>
      <c r="CG39" s="21"/>
      <c r="CH39" s="21"/>
      <c r="CI39" s="21"/>
      <c r="CJ39" s="21"/>
      <c r="CK39" s="21"/>
      <c r="CL39" s="21">
        <v>0</v>
      </c>
      <c r="CM39" s="21"/>
      <c r="CN39" s="21"/>
      <c r="CO39" s="21"/>
      <c r="CP39" s="21"/>
      <c r="CQ39" s="19"/>
      <c r="CR39" s="19"/>
      <c r="CS39" s="19"/>
      <c r="CT39" s="19"/>
      <c r="CU39" s="21">
        <f t="shared" si="118"/>
        <v>0</v>
      </c>
      <c r="CV39" s="16" t="s">
        <v>103</v>
      </c>
    </row>
    <row r="40" spans="1:100" s="8" customFormat="1" ht="110.25" x14ac:dyDescent="0.25">
      <c r="A40" s="17" t="s">
        <v>40</v>
      </c>
      <c r="B40" s="18" t="s">
        <v>42</v>
      </c>
      <c r="C40" s="16" t="s">
        <v>103</v>
      </c>
      <c r="D40" s="16" t="s">
        <v>103</v>
      </c>
      <c r="E40" s="16" t="s">
        <v>103</v>
      </c>
      <c r="F40" s="16" t="s">
        <v>103</v>
      </c>
      <c r="G40" s="16" t="s">
        <v>103</v>
      </c>
      <c r="H40" s="19">
        <v>0</v>
      </c>
      <c r="I40" s="19">
        <v>0</v>
      </c>
      <c r="J40" s="16" t="s">
        <v>103</v>
      </c>
      <c r="K40" s="16"/>
      <c r="L40" s="16"/>
      <c r="M40" s="16"/>
      <c r="N40" s="16" t="s">
        <v>103</v>
      </c>
      <c r="O40" s="16" t="s">
        <v>103</v>
      </c>
      <c r="P40" s="19">
        <v>0</v>
      </c>
      <c r="Q40" s="19">
        <v>0</v>
      </c>
      <c r="R40" s="19"/>
      <c r="S40" s="19"/>
      <c r="T40" s="19" t="s">
        <v>103</v>
      </c>
      <c r="U40" s="19">
        <f t="shared" si="128"/>
        <v>0</v>
      </c>
      <c r="V40" s="19" t="s">
        <v>103</v>
      </c>
      <c r="W40" s="19">
        <v>0</v>
      </c>
      <c r="X40" s="19">
        <f t="shared" si="120"/>
        <v>0</v>
      </c>
      <c r="Y40" s="19" t="s">
        <v>103</v>
      </c>
      <c r="Z40" s="19" t="s">
        <v>103</v>
      </c>
      <c r="AA40" s="19" t="s">
        <v>103</v>
      </c>
      <c r="AB40" s="19" t="s">
        <v>103</v>
      </c>
      <c r="AC40" s="19" t="s">
        <v>103</v>
      </c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>
        <v>0</v>
      </c>
      <c r="AO40" s="19" t="s">
        <v>103</v>
      </c>
      <c r="AP40" s="19">
        <v>0</v>
      </c>
      <c r="AQ40" s="19">
        <v>0</v>
      </c>
      <c r="AR40" s="19">
        <v>0</v>
      </c>
      <c r="AS40" s="19">
        <f t="shared" si="121"/>
        <v>0</v>
      </c>
      <c r="AT40" s="19">
        <v>0</v>
      </c>
      <c r="AU40" s="19">
        <v>0</v>
      </c>
      <c r="AV40" s="19">
        <v>0</v>
      </c>
      <c r="AW40" s="19">
        <v>0</v>
      </c>
      <c r="AX40" s="21"/>
      <c r="AY40" s="21"/>
      <c r="AZ40" s="21"/>
      <c r="BA40" s="21"/>
      <c r="BB40" s="21"/>
      <c r="BC40" s="21"/>
      <c r="BD40" s="21"/>
      <c r="BE40" s="21"/>
      <c r="BF40" s="21"/>
      <c r="BG40" s="21"/>
      <c r="BH40" s="21"/>
      <c r="BI40" s="21"/>
      <c r="BJ40" s="21"/>
      <c r="BK40" s="21"/>
      <c r="BL40" s="21"/>
      <c r="BM40" s="21"/>
      <c r="BN40" s="21"/>
      <c r="BO40" s="21"/>
      <c r="BP40" s="21"/>
      <c r="BQ40" s="21"/>
      <c r="BR40" s="21"/>
      <c r="BS40" s="21"/>
      <c r="BT40" s="21"/>
      <c r="BU40" s="21"/>
      <c r="BV40" s="21"/>
      <c r="BW40" s="21"/>
      <c r="BX40" s="21"/>
      <c r="BY40" s="21"/>
      <c r="BZ40" s="21"/>
      <c r="CA40" s="21"/>
      <c r="CB40" s="21"/>
      <c r="CC40" s="21"/>
      <c r="CD40" s="21"/>
      <c r="CE40" s="21"/>
      <c r="CF40" s="21"/>
      <c r="CG40" s="21"/>
      <c r="CH40" s="21"/>
      <c r="CI40" s="21"/>
      <c r="CJ40" s="21"/>
      <c r="CK40" s="21"/>
      <c r="CL40" s="21">
        <v>0</v>
      </c>
      <c r="CM40" s="21"/>
      <c r="CN40" s="21"/>
      <c r="CO40" s="21"/>
      <c r="CP40" s="21"/>
      <c r="CQ40" s="19"/>
      <c r="CR40" s="19"/>
      <c r="CS40" s="19"/>
      <c r="CT40" s="19"/>
      <c r="CU40" s="21">
        <f t="shared" si="118"/>
        <v>0</v>
      </c>
      <c r="CV40" s="16" t="s">
        <v>103</v>
      </c>
    </row>
    <row r="41" spans="1:100" s="8" customFormat="1" ht="94.5" x14ac:dyDescent="0.25">
      <c r="A41" s="17" t="s">
        <v>40</v>
      </c>
      <c r="B41" s="18" t="s">
        <v>43</v>
      </c>
      <c r="C41" s="16" t="s">
        <v>103</v>
      </c>
      <c r="D41" s="16" t="s">
        <v>103</v>
      </c>
      <c r="E41" s="16" t="s">
        <v>103</v>
      </c>
      <c r="F41" s="16" t="s">
        <v>103</v>
      </c>
      <c r="G41" s="16" t="s">
        <v>103</v>
      </c>
      <c r="H41" s="19">
        <v>0</v>
      </c>
      <c r="I41" s="19">
        <v>0</v>
      </c>
      <c r="J41" s="16" t="s">
        <v>103</v>
      </c>
      <c r="K41" s="16"/>
      <c r="L41" s="16"/>
      <c r="M41" s="16"/>
      <c r="N41" s="16" t="s">
        <v>103</v>
      </c>
      <c r="O41" s="16" t="s">
        <v>103</v>
      </c>
      <c r="P41" s="19">
        <v>0</v>
      </c>
      <c r="Q41" s="19">
        <v>0</v>
      </c>
      <c r="R41" s="19"/>
      <c r="S41" s="19"/>
      <c r="T41" s="19" t="s">
        <v>103</v>
      </c>
      <c r="U41" s="19">
        <f t="shared" si="128"/>
        <v>0</v>
      </c>
      <c r="V41" s="19" t="s">
        <v>103</v>
      </c>
      <c r="W41" s="19">
        <v>0</v>
      </c>
      <c r="X41" s="19">
        <f t="shared" si="120"/>
        <v>0</v>
      </c>
      <c r="Y41" s="19" t="s">
        <v>103</v>
      </c>
      <c r="Z41" s="19" t="s">
        <v>103</v>
      </c>
      <c r="AA41" s="19" t="s">
        <v>103</v>
      </c>
      <c r="AB41" s="19" t="s">
        <v>103</v>
      </c>
      <c r="AC41" s="19" t="s">
        <v>103</v>
      </c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>
        <v>0</v>
      </c>
      <c r="AO41" s="19" t="s">
        <v>103</v>
      </c>
      <c r="AP41" s="19">
        <v>0</v>
      </c>
      <c r="AQ41" s="19">
        <v>0</v>
      </c>
      <c r="AR41" s="19">
        <v>0</v>
      </c>
      <c r="AS41" s="19">
        <f t="shared" si="121"/>
        <v>0</v>
      </c>
      <c r="AT41" s="19">
        <v>0</v>
      </c>
      <c r="AU41" s="19">
        <v>0</v>
      </c>
      <c r="AV41" s="19">
        <v>0</v>
      </c>
      <c r="AW41" s="19">
        <v>0</v>
      </c>
      <c r="AX41" s="21"/>
      <c r="AY41" s="21"/>
      <c r="AZ41" s="21"/>
      <c r="BA41" s="21"/>
      <c r="BB41" s="21"/>
      <c r="BC41" s="21"/>
      <c r="BD41" s="21"/>
      <c r="BE41" s="21"/>
      <c r="BF41" s="21"/>
      <c r="BG41" s="21"/>
      <c r="BH41" s="21"/>
      <c r="BI41" s="21"/>
      <c r="BJ41" s="21"/>
      <c r="BK41" s="21"/>
      <c r="BL41" s="21"/>
      <c r="BM41" s="21"/>
      <c r="BN41" s="21"/>
      <c r="BO41" s="21"/>
      <c r="BP41" s="21"/>
      <c r="BQ41" s="21"/>
      <c r="BR41" s="21"/>
      <c r="BS41" s="21"/>
      <c r="BT41" s="21"/>
      <c r="BU41" s="21"/>
      <c r="BV41" s="21"/>
      <c r="BW41" s="21"/>
      <c r="BX41" s="21"/>
      <c r="BY41" s="21"/>
      <c r="BZ41" s="21"/>
      <c r="CA41" s="21"/>
      <c r="CB41" s="21"/>
      <c r="CC41" s="21"/>
      <c r="CD41" s="21"/>
      <c r="CE41" s="21"/>
      <c r="CF41" s="21"/>
      <c r="CG41" s="21"/>
      <c r="CH41" s="21"/>
      <c r="CI41" s="21"/>
      <c r="CJ41" s="21"/>
      <c r="CK41" s="21"/>
      <c r="CL41" s="21">
        <v>0</v>
      </c>
      <c r="CM41" s="21"/>
      <c r="CN41" s="21"/>
      <c r="CO41" s="21"/>
      <c r="CP41" s="21"/>
      <c r="CQ41" s="19"/>
      <c r="CR41" s="19"/>
      <c r="CS41" s="19"/>
      <c r="CT41" s="19"/>
      <c r="CU41" s="21">
        <f t="shared" si="118"/>
        <v>0</v>
      </c>
      <c r="CV41" s="16" t="s">
        <v>103</v>
      </c>
    </row>
    <row r="42" spans="1:100" s="8" customFormat="1" ht="94.5" x14ac:dyDescent="0.25">
      <c r="A42" s="17" t="s">
        <v>40</v>
      </c>
      <c r="B42" s="18" t="s">
        <v>44</v>
      </c>
      <c r="C42" s="16" t="s">
        <v>103</v>
      </c>
      <c r="D42" s="16" t="s">
        <v>103</v>
      </c>
      <c r="E42" s="16" t="s">
        <v>103</v>
      </c>
      <c r="F42" s="16" t="s">
        <v>103</v>
      </c>
      <c r="G42" s="16" t="s">
        <v>103</v>
      </c>
      <c r="H42" s="19">
        <v>0</v>
      </c>
      <c r="I42" s="19">
        <v>0</v>
      </c>
      <c r="J42" s="16" t="s">
        <v>103</v>
      </c>
      <c r="K42" s="16"/>
      <c r="L42" s="16"/>
      <c r="M42" s="16"/>
      <c r="N42" s="16" t="s">
        <v>103</v>
      </c>
      <c r="O42" s="16" t="s">
        <v>103</v>
      </c>
      <c r="P42" s="19">
        <v>0</v>
      </c>
      <c r="Q42" s="19">
        <v>0</v>
      </c>
      <c r="R42" s="19"/>
      <c r="S42" s="19"/>
      <c r="T42" s="19" t="s">
        <v>103</v>
      </c>
      <c r="U42" s="19">
        <f t="shared" si="128"/>
        <v>0</v>
      </c>
      <c r="V42" s="19" t="s">
        <v>103</v>
      </c>
      <c r="W42" s="19">
        <v>0</v>
      </c>
      <c r="X42" s="19">
        <f t="shared" si="120"/>
        <v>0</v>
      </c>
      <c r="Y42" s="19" t="s">
        <v>103</v>
      </c>
      <c r="Z42" s="19" t="s">
        <v>103</v>
      </c>
      <c r="AA42" s="19" t="s">
        <v>103</v>
      </c>
      <c r="AB42" s="19" t="s">
        <v>103</v>
      </c>
      <c r="AC42" s="19" t="s">
        <v>103</v>
      </c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>
        <v>0</v>
      </c>
      <c r="AO42" s="19" t="s">
        <v>103</v>
      </c>
      <c r="AP42" s="19">
        <v>0</v>
      </c>
      <c r="AQ42" s="19">
        <v>0</v>
      </c>
      <c r="AR42" s="19">
        <v>0</v>
      </c>
      <c r="AS42" s="19">
        <f t="shared" si="121"/>
        <v>0</v>
      </c>
      <c r="AT42" s="19">
        <v>0</v>
      </c>
      <c r="AU42" s="19">
        <v>0</v>
      </c>
      <c r="AV42" s="19">
        <v>0</v>
      </c>
      <c r="AW42" s="19">
        <v>0</v>
      </c>
      <c r="AX42" s="21"/>
      <c r="AY42" s="21"/>
      <c r="AZ42" s="21"/>
      <c r="BA42" s="21"/>
      <c r="BB42" s="21"/>
      <c r="BC42" s="21"/>
      <c r="BD42" s="21"/>
      <c r="BE42" s="21"/>
      <c r="BF42" s="21"/>
      <c r="BG42" s="21"/>
      <c r="BH42" s="21"/>
      <c r="BI42" s="21"/>
      <c r="BJ42" s="21"/>
      <c r="BK42" s="21"/>
      <c r="BL42" s="21"/>
      <c r="BM42" s="21"/>
      <c r="BN42" s="21"/>
      <c r="BO42" s="21"/>
      <c r="BP42" s="21"/>
      <c r="BQ42" s="21"/>
      <c r="BR42" s="21"/>
      <c r="BS42" s="21"/>
      <c r="BT42" s="21"/>
      <c r="BU42" s="21"/>
      <c r="BV42" s="21"/>
      <c r="BW42" s="21"/>
      <c r="BX42" s="21"/>
      <c r="BY42" s="21"/>
      <c r="BZ42" s="21"/>
      <c r="CA42" s="21"/>
      <c r="CB42" s="21"/>
      <c r="CC42" s="21"/>
      <c r="CD42" s="21"/>
      <c r="CE42" s="21"/>
      <c r="CF42" s="21"/>
      <c r="CG42" s="21"/>
      <c r="CH42" s="21"/>
      <c r="CI42" s="21"/>
      <c r="CJ42" s="21"/>
      <c r="CK42" s="21"/>
      <c r="CL42" s="21">
        <v>0</v>
      </c>
      <c r="CM42" s="21"/>
      <c r="CN42" s="21"/>
      <c r="CO42" s="21"/>
      <c r="CP42" s="21"/>
      <c r="CQ42" s="19"/>
      <c r="CR42" s="19"/>
      <c r="CS42" s="19"/>
      <c r="CT42" s="19"/>
      <c r="CU42" s="21">
        <f t="shared" si="118"/>
        <v>0</v>
      </c>
      <c r="CV42" s="16" t="s">
        <v>103</v>
      </c>
    </row>
    <row r="43" spans="1:100" s="8" customFormat="1" ht="31.5" x14ac:dyDescent="0.25">
      <c r="A43" s="17" t="s">
        <v>45</v>
      </c>
      <c r="B43" s="18" t="s">
        <v>41</v>
      </c>
      <c r="C43" s="16" t="s">
        <v>103</v>
      </c>
      <c r="D43" s="16" t="s">
        <v>103</v>
      </c>
      <c r="E43" s="16" t="s">
        <v>103</v>
      </c>
      <c r="F43" s="16" t="s">
        <v>103</v>
      </c>
      <c r="G43" s="16" t="s">
        <v>103</v>
      </c>
      <c r="H43" s="19">
        <v>0</v>
      </c>
      <c r="I43" s="19">
        <v>0</v>
      </c>
      <c r="J43" s="16" t="s">
        <v>103</v>
      </c>
      <c r="K43" s="16"/>
      <c r="L43" s="16"/>
      <c r="M43" s="16"/>
      <c r="N43" s="16" t="s">
        <v>103</v>
      </c>
      <c r="O43" s="16" t="s">
        <v>103</v>
      </c>
      <c r="P43" s="19">
        <v>0</v>
      </c>
      <c r="Q43" s="19">
        <v>0</v>
      </c>
      <c r="R43" s="19"/>
      <c r="S43" s="19"/>
      <c r="T43" s="19" t="s">
        <v>103</v>
      </c>
      <c r="U43" s="19">
        <f t="shared" si="128"/>
        <v>0</v>
      </c>
      <c r="V43" s="19" t="s">
        <v>103</v>
      </c>
      <c r="W43" s="19">
        <v>0</v>
      </c>
      <c r="X43" s="19">
        <f t="shared" si="120"/>
        <v>0</v>
      </c>
      <c r="Y43" s="19" t="s">
        <v>103</v>
      </c>
      <c r="Z43" s="19" t="s">
        <v>103</v>
      </c>
      <c r="AA43" s="19" t="s">
        <v>103</v>
      </c>
      <c r="AB43" s="19" t="s">
        <v>103</v>
      </c>
      <c r="AC43" s="19" t="s">
        <v>103</v>
      </c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>
        <v>0</v>
      </c>
      <c r="AO43" s="19" t="s">
        <v>103</v>
      </c>
      <c r="AP43" s="19">
        <v>0</v>
      </c>
      <c r="AQ43" s="19">
        <v>0</v>
      </c>
      <c r="AR43" s="19">
        <v>0</v>
      </c>
      <c r="AS43" s="19">
        <f t="shared" si="121"/>
        <v>0</v>
      </c>
      <c r="AT43" s="19">
        <v>0</v>
      </c>
      <c r="AU43" s="19">
        <v>0</v>
      </c>
      <c r="AV43" s="19">
        <v>0</v>
      </c>
      <c r="AW43" s="19">
        <v>0</v>
      </c>
      <c r="AX43" s="21"/>
      <c r="AY43" s="21"/>
      <c r="AZ43" s="21"/>
      <c r="BA43" s="21"/>
      <c r="BB43" s="21"/>
      <c r="BC43" s="21"/>
      <c r="BD43" s="21"/>
      <c r="BE43" s="21"/>
      <c r="BF43" s="21"/>
      <c r="BG43" s="21"/>
      <c r="BH43" s="21"/>
      <c r="BI43" s="21"/>
      <c r="BJ43" s="21"/>
      <c r="BK43" s="21"/>
      <c r="BL43" s="21"/>
      <c r="BM43" s="21"/>
      <c r="BN43" s="21"/>
      <c r="BO43" s="21"/>
      <c r="BP43" s="21"/>
      <c r="BQ43" s="21"/>
      <c r="BR43" s="21"/>
      <c r="BS43" s="21"/>
      <c r="BT43" s="21"/>
      <c r="BU43" s="21"/>
      <c r="BV43" s="21"/>
      <c r="BW43" s="21"/>
      <c r="BX43" s="21"/>
      <c r="BY43" s="21"/>
      <c r="BZ43" s="21"/>
      <c r="CA43" s="21"/>
      <c r="CB43" s="21"/>
      <c r="CC43" s="21"/>
      <c r="CD43" s="21"/>
      <c r="CE43" s="21"/>
      <c r="CF43" s="21"/>
      <c r="CG43" s="21"/>
      <c r="CH43" s="21"/>
      <c r="CI43" s="21"/>
      <c r="CJ43" s="21"/>
      <c r="CK43" s="21"/>
      <c r="CL43" s="21">
        <v>0</v>
      </c>
      <c r="CM43" s="21"/>
      <c r="CN43" s="21"/>
      <c r="CO43" s="21"/>
      <c r="CP43" s="21"/>
      <c r="CQ43" s="19"/>
      <c r="CR43" s="19"/>
      <c r="CS43" s="19"/>
      <c r="CT43" s="19"/>
      <c r="CU43" s="21">
        <f t="shared" si="118"/>
        <v>0</v>
      </c>
      <c r="CV43" s="16" t="s">
        <v>103</v>
      </c>
    </row>
    <row r="44" spans="1:100" s="8" customFormat="1" ht="110.25" x14ac:dyDescent="0.25">
      <c r="A44" s="17" t="s">
        <v>45</v>
      </c>
      <c r="B44" s="18" t="s">
        <v>42</v>
      </c>
      <c r="C44" s="16" t="s">
        <v>103</v>
      </c>
      <c r="D44" s="16" t="s">
        <v>103</v>
      </c>
      <c r="E44" s="16" t="s">
        <v>103</v>
      </c>
      <c r="F44" s="16" t="s">
        <v>103</v>
      </c>
      <c r="G44" s="16" t="s">
        <v>103</v>
      </c>
      <c r="H44" s="19">
        <v>0</v>
      </c>
      <c r="I44" s="19">
        <v>0</v>
      </c>
      <c r="J44" s="16" t="s">
        <v>103</v>
      </c>
      <c r="K44" s="16"/>
      <c r="L44" s="16"/>
      <c r="M44" s="16"/>
      <c r="N44" s="16" t="s">
        <v>103</v>
      </c>
      <c r="O44" s="16" t="s">
        <v>103</v>
      </c>
      <c r="P44" s="19">
        <v>0</v>
      </c>
      <c r="Q44" s="19">
        <v>0</v>
      </c>
      <c r="R44" s="19"/>
      <c r="S44" s="19"/>
      <c r="T44" s="19" t="s">
        <v>103</v>
      </c>
      <c r="U44" s="19">
        <f t="shared" si="128"/>
        <v>0</v>
      </c>
      <c r="V44" s="19" t="s">
        <v>103</v>
      </c>
      <c r="W44" s="19">
        <v>0</v>
      </c>
      <c r="X44" s="19">
        <f t="shared" si="120"/>
        <v>0</v>
      </c>
      <c r="Y44" s="19" t="s">
        <v>103</v>
      </c>
      <c r="Z44" s="19" t="s">
        <v>103</v>
      </c>
      <c r="AA44" s="19" t="s">
        <v>103</v>
      </c>
      <c r="AB44" s="19" t="s">
        <v>103</v>
      </c>
      <c r="AC44" s="19" t="s">
        <v>103</v>
      </c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>
        <v>0</v>
      </c>
      <c r="AO44" s="19" t="s">
        <v>103</v>
      </c>
      <c r="AP44" s="19">
        <v>0</v>
      </c>
      <c r="AQ44" s="19">
        <v>0</v>
      </c>
      <c r="AR44" s="19">
        <v>0</v>
      </c>
      <c r="AS44" s="19">
        <f t="shared" si="121"/>
        <v>0</v>
      </c>
      <c r="AT44" s="19">
        <v>0</v>
      </c>
      <c r="AU44" s="19">
        <v>0</v>
      </c>
      <c r="AV44" s="19">
        <v>0</v>
      </c>
      <c r="AW44" s="19">
        <v>0</v>
      </c>
      <c r="AX44" s="21"/>
      <c r="AY44" s="21"/>
      <c r="AZ44" s="21"/>
      <c r="BA44" s="21"/>
      <c r="BB44" s="21"/>
      <c r="BC44" s="21"/>
      <c r="BD44" s="21"/>
      <c r="BE44" s="21"/>
      <c r="BF44" s="21"/>
      <c r="BG44" s="21"/>
      <c r="BH44" s="21"/>
      <c r="BI44" s="21"/>
      <c r="BJ44" s="21"/>
      <c r="BK44" s="21"/>
      <c r="BL44" s="21"/>
      <c r="BM44" s="21"/>
      <c r="BN44" s="21"/>
      <c r="BO44" s="21"/>
      <c r="BP44" s="21"/>
      <c r="BQ44" s="21"/>
      <c r="BR44" s="21"/>
      <c r="BS44" s="21"/>
      <c r="BT44" s="21"/>
      <c r="BU44" s="21"/>
      <c r="BV44" s="21"/>
      <c r="BW44" s="21"/>
      <c r="BX44" s="21"/>
      <c r="BY44" s="21"/>
      <c r="BZ44" s="21"/>
      <c r="CA44" s="21"/>
      <c r="CB44" s="21"/>
      <c r="CC44" s="21"/>
      <c r="CD44" s="21"/>
      <c r="CE44" s="21"/>
      <c r="CF44" s="21"/>
      <c r="CG44" s="21"/>
      <c r="CH44" s="21"/>
      <c r="CI44" s="21"/>
      <c r="CJ44" s="21"/>
      <c r="CK44" s="21"/>
      <c r="CL44" s="21">
        <v>0</v>
      </c>
      <c r="CM44" s="21"/>
      <c r="CN44" s="21"/>
      <c r="CO44" s="21"/>
      <c r="CP44" s="21"/>
      <c r="CQ44" s="19"/>
      <c r="CR44" s="19"/>
      <c r="CS44" s="19"/>
      <c r="CT44" s="19"/>
      <c r="CU44" s="21">
        <f t="shared" si="118"/>
        <v>0</v>
      </c>
      <c r="CV44" s="16" t="s">
        <v>103</v>
      </c>
    </row>
    <row r="45" spans="1:100" s="8" customFormat="1" ht="94.5" x14ac:dyDescent="0.25">
      <c r="A45" s="17" t="s">
        <v>45</v>
      </c>
      <c r="B45" s="18" t="s">
        <v>43</v>
      </c>
      <c r="C45" s="16" t="s">
        <v>103</v>
      </c>
      <c r="D45" s="16" t="s">
        <v>103</v>
      </c>
      <c r="E45" s="16" t="s">
        <v>103</v>
      </c>
      <c r="F45" s="16" t="s">
        <v>103</v>
      </c>
      <c r="G45" s="16" t="s">
        <v>103</v>
      </c>
      <c r="H45" s="19">
        <v>0</v>
      </c>
      <c r="I45" s="19">
        <v>0</v>
      </c>
      <c r="J45" s="16" t="s">
        <v>103</v>
      </c>
      <c r="K45" s="16"/>
      <c r="L45" s="16"/>
      <c r="M45" s="16"/>
      <c r="N45" s="16" t="s">
        <v>103</v>
      </c>
      <c r="O45" s="16" t="s">
        <v>103</v>
      </c>
      <c r="P45" s="19">
        <v>0</v>
      </c>
      <c r="Q45" s="19">
        <v>0</v>
      </c>
      <c r="R45" s="19"/>
      <c r="S45" s="19"/>
      <c r="T45" s="19" t="s">
        <v>103</v>
      </c>
      <c r="U45" s="19">
        <f t="shared" si="128"/>
        <v>0</v>
      </c>
      <c r="V45" s="19" t="s">
        <v>103</v>
      </c>
      <c r="W45" s="19">
        <v>0</v>
      </c>
      <c r="X45" s="19">
        <f t="shared" si="120"/>
        <v>0</v>
      </c>
      <c r="Y45" s="19" t="s">
        <v>103</v>
      </c>
      <c r="Z45" s="19" t="s">
        <v>103</v>
      </c>
      <c r="AA45" s="19" t="s">
        <v>103</v>
      </c>
      <c r="AB45" s="19" t="s">
        <v>103</v>
      </c>
      <c r="AC45" s="19" t="s">
        <v>103</v>
      </c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>
        <v>0</v>
      </c>
      <c r="AO45" s="19" t="s">
        <v>103</v>
      </c>
      <c r="AP45" s="19">
        <v>0</v>
      </c>
      <c r="AQ45" s="19">
        <v>0</v>
      </c>
      <c r="AR45" s="19">
        <v>0</v>
      </c>
      <c r="AS45" s="19">
        <f t="shared" si="121"/>
        <v>0</v>
      </c>
      <c r="AT45" s="19">
        <v>0</v>
      </c>
      <c r="AU45" s="19">
        <v>0</v>
      </c>
      <c r="AV45" s="19">
        <v>0</v>
      </c>
      <c r="AW45" s="19">
        <v>0</v>
      </c>
      <c r="AX45" s="21"/>
      <c r="AY45" s="21"/>
      <c r="AZ45" s="21"/>
      <c r="BA45" s="21"/>
      <c r="BB45" s="21"/>
      <c r="BC45" s="21"/>
      <c r="BD45" s="21"/>
      <c r="BE45" s="21"/>
      <c r="BF45" s="21"/>
      <c r="BG45" s="21"/>
      <c r="BH45" s="21"/>
      <c r="BI45" s="21"/>
      <c r="BJ45" s="21"/>
      <c r="BK45" s="21"/>
      <c r="BL45" s="21"/>
      <c r="BM45" s="21"/>
      <c r="BN45" s="21"/>
      <c r="BO45" s="21"/>
      <c r="BP45" s="21"/>
      <c r="BQ45" s="21"/>
      <c r="BR45" s="21"/>
      <c r="BS45" s="21"/>
      <c r="BT45" s="21"/>
      <c r="BU45" s="21"/>
      <c r="BV45" s="21"/>
      <c r="BW45" s="21"/>
      <c r="BX45" s="21"/>
      <c r="BY45" s="21"/>
      <c r="BZ45" s="21"/>
      <c r="CA45" s="21"/>
      <c r="CB45" s="21"/>
      <c r="CC45" s="21"/>
      <c r="CD45" s="21"/>
      <c r="CE45" s="21"/>
      <c r="CF45" s="21"/>
      <c r="CG45" s="21"/>
      <c r="CH45" s="21"/>
      <c r="CI45" s="21"/>
      <c r="CJ45" s="21"/>
      <c r="CK45" s="21"/>
      <c r="CL45" s="21">
        <v>0</v>
      </c>
      <c r="CM45" s="21"/>
      <c r="CN45" s="21"/>
      <c r="CO45" s="21"/>
      <c r="CP45" s="21"/>
      <c r="CQ45" s="19"/>
      <c r="CR45" s="19"/>
      <c r="CS45" s="19"/>
      <c r="CT45" s="19"/>
      <c r="CU45" s="21">
        <f t="shared" si="118"/>
        <v>0</v>
      </c>
      <c r="CV45" s="16" t="s">
        <v>103</v>
      </c>
    </row>
    <row r="46" spans="1:100" s="8" customFormat="1" ht="94.5" x14ac:dyDescent="0.25">
      <c r="A46" s="17" t="s">
        <v>45</v>
      </c>
      <c r="B46" s="18" t="s">
        <v>46</v>
      </c>
      <c r="C46" s="16" t="s">
        <v>103</v>
      </c>
      <c r="D46" s="16" t="s">
        <v>103</v>
      </c>
      <c r="E46" s="16" t="s">
        <v>103</v>
      </c>
      <c r="F46" s="16" t="s">
        <v>103</v>
      </c>
      <c r="G46" s="16" t="s">
        <v>103</v>
      </c>
      <c r="H46" s="19">
        <v>0</v>
      </c>
      <c r="I46" s="19">
        <v>0</v>
      </c>
      <c r="J46" s="16" t="s">
        <v>103</v>
      </c>
      <c r="K46" s="16"/>
      <c r="L46" s="16"/>
      <c r="M46" s="16"/>
      <c r="N46" s="16" t="s">
        <v>103</v>
      </c>
      <c r="O46" s="16" t="s">
        <v>103</v>
      </c>
      <c r="P46" s="19">
        <v>0</v>
      </c>
      <c r="Q46" s="19">
        <v>0</v>
      </c>
      <c r="R46" s="19"/>
      <c r="S46" s="19"/>
      <c r="T46" s="19" t="s">
        <v>103</v>
      </c>
      <c r="U46" s="19">
        <f t="shared" si="128"/>
        <v>0</v>
      </c>
      <c r="V46" s="19" t="s">
        <v>103</v>
      </c>
      <c r="W46" s="19">
        <v>0</v>
      </c>
      <c r="X46" s="19">
        <f t="shared" si="120"/>
        <v>0</v>
      </c>
      <c r="Y46" s="19" t="s">
        <v>103</v>
      </c>
      <c r="Z46" s="19" t="s">
        <v>103</v>
      </c>
      <c r="AA46" s="19" t="s">
        <v>103</v>
      </c>
      <c r="AB46" s="19" t="s">
        <v>103</v>
      </c>
      <c r="AC46" s="19" t="s">
        <v>103</v>
      </c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>
        <v>0</v>
      </c>
      <c r="AO46" s="19" t="s">
        <v>103</v>
      </c>
      <c r="AP46" s="19">
        <v>0</v>
      </c>
      <c r="AQ46" s="19">
        <v>0</v>
      </c>
      <c r="AR46" s="19">
        <v>0</v>
      </c>
      <c r="AS46" s="19">
        <f t="shared" si="121"/>
        <v>0</v>
      </c>
      <c r="AT46" s="19">
        <v>0</v>
      </c>
      <c r="AU46" s="19">
        <v>0</v>
      </c>
      <c r="AV46" s="19">
        <v>0</v>
      </c>
      <c r="AW46" s="19">
        <v>0</v>
      </c>
      <c r="AX46" s="21"/>
      <c r="AY46" s="21"/>
      <c r="AZ46" s="21"/>
      <c r="BA46" s="21"/>
      <c r="BB46" s="21"/>
      <c r="BC46" s="21"/>
      <c r="BD46" s="21"/>
      <c r="BE46" s="21"/>
      <c r="BF46" s="21"/>
      <c r="BG46" s="21"/>
      <c r="BH46" s="21"/>
      <c r="BI46" s="21"/>
      <c r="BJ46" s="21"/>
      <c r="BK46" s="21"/>
      <c r="BL46" s="21"/>
      <c r="BM46" s="21"/>
      <c r="BN46" s="21"/>
      <c r="BO46" s="21"/>
      <c r="BP46" s="21"/>
      <c r="BQ46" s="21"/>
      <c r="BR46" s="21"/>
      <c r="BS46" s="21"/>
      <c r="BT46" s="21"/>
      <c r="BU46" s="21"/>
      <c r="BV46" s="21"/>
      <c r="BW46" s="21"/>
      <c r="BX46" s="21"/>
      <c r="BY46" s="21"/>
      <c r="BZ46" s="21"/>
      <c r="CA46" s="21"/>
      <c r="CB46" s="21"/>
      <c r="CC46" s="21"/>
      <c r="CD46" s="21"/>
      <c r="CE46" s="21"/>
      <c r="CF46" s="21"/>
      <c r="CG46" s="21"/>
      <c r="CH46" s="21"/>
      <c r="CI46" s="21"/>
      <c r="CJ46" s="21"/>
      <c r="CK46" s="21"/>
      <c r="CL46" s="21">
        <v>0</v>
      </c>
      <c r="CM46" s="21"/>
      <c r="CN46" s="21"/>
      <c r="CO46" s="21"/>
      <c r="CP46" s="21"/>
      <c r="CQ46" s="19"/>
      <c r="CR46" s="19"/>
      <c r="CS46" s="19"/>
      <c r="CT46" s="19"/>
      <c r="CU46" s="21">
        <f t="shared" si="118"/>
        <v>0</v>
      </c>
      <c r="CV46" s="16" t="s">
        <v>103</v>
      </c>
    </row>
    <row r="47" spans="1:100" s="8" customFormat="1" ht="94.5" x14ac:dyDescent="0.25">
      <c r="A47" s="17" t="s">
        <v>47</v>
      </c>
      <c r="B47" s="18" t="s">
        <v>48</v>
      </c>
      <c r="C47" s="16" t="s">
        <v>112</v>
      </c>
      <c r="D47" s="16" t="s">
        <v>103</v>
      </c>
      <c r="E47" s="16" t="s">
        <v>103</v>
      </c>
      <c r="F47" s="16" t="s">
        <v>103</v>
      </c>
      <c r="G47" s="16" t="s">
        <v>103</v>
      </c>
      <c r="H47" s="19">
        <v>0</v>
      </c>
      <c r="I47" s="19" t="str">
        <f>I48</f>
        <v>нд</v>
      </c>
      <c r="J47" s="16" t="s">
        <v>103</v>
      </c>
      <c r="K47" s="16" t="s">
        <v>103</v>
      </c>
      <c r="L47" s="16" t="s">
        <v>103</v>
      </c>
      <c r="M47" s="16" t="s">
        <v>103</v>
      </c>
      <c r="N47" s="19" t="str">
        <f t="shared" ref="N47:Q47" si="131">N48</f>
        <v>нд</v>
      </c>
      <c r="O47" s="19" t="str">
        <f>O48</f>
        <v>нд</v>
      </c>
      <c r="P47" s="19" t="str">
        <f t="shared" si="131"/>
        <v>нд</v>
      </c>
      <c r="Q47" s="19" t="str">
        <f t="shared" si="131"/>
        <v>нд</v>
      </c>
      <c r="R47" s="19" t="s">
        <v>103</v>
      </c>
      <c r="S47" s="19"/>
      <c r="T47" s="19" t="s">
        <v>103</v>
      </c>
      <c r="U47" s="19" t="s">
        <v>103</v>
      </c>
      <c r="V47" s="26" t="str">
        <f t="shared" ref="V47:V48" si="132">T47</f>
        <v>нд</v>
      </c>
      <c r="W47" s="26" t="s">
        <v>103</v>
      </c>
      <c r="X47" s="19" t="s">
        <v>103</v>
      </c>
      <c r="Y47" s="19" t="s">
        <v>103</v>
      </c>
      <c r="Z47" s="19" t="s">
        <v>103</v>
      </c>
      <c r="AA47" s="19" t="s">
        <v>103</v>
      </c>
      <c r="AB47" s="19" t="s">
        <v>103</v>
      </c>
      <c r="AC47" s="19" t="s">
        <v>103</v>
      </c>
      <c r="AD47" s="19"/>
      <c r="AE47" s="19"/>
      <c r="AF47" s="19"/>
      <c r="AG47" s="19"/>
      <c r="AH47" s="19"/>
      <c r="AI47" s="19"/>
      <c r="AJ47" s="19"/>
      <c r="AK47" s="19"/>
      <c r="AL47" s="19"/>
      <c r="AM47" s="19"/>
      <c r="AN47" s="19" t="str">
        <f t="shared" ref="AN47:CP47" si="133">AN48</f>
        <v>нд</v>
      </c>
      <c r="AO47" s="19" t="s">
        <v>103</v>
      </c>
      <c r="AP47" s="19" t="str">
        <f t="shared" si="133"/>
        <v>нд</v>
      </c>
      <c r="AQ47" s="19" t="str">
        <f t="shared" si="133"/>
        <v>нд</v>
      </c>
      <c r="AR47" s="19" t="str">
        <f t="shared" si="133"/>
        <v>нд</v>
      </c>
      <c r="AS47" s="19">
        <f t="shared" si="121"/>
        <v>0</v>
      </c>
      <c r="AT47" s="19" t="str">
        <f t="shared" si="133"/>
        <v>нд</v>
      </c>
      <c r="AU47" s="19" t="str">
        <f t="shared" si="133"/>
        <v>нд</v>
      </c>
      <c r="AV47" s="19" t="str">
        <f t="shared" si="133"/>
        <v>нд</v>
      </c>
      <c r="AW47" s="19" t="str">
        <f t="shared" si="133"/>
        <v>нд</v>
      </c>
      <c r="AX47" s="19" t="str">
        <f t="shared" si="133"/>
        <v>нд</v>
      </c>
      <c r="AY47" s="19" t="str">
        <f t="shared" si="133"/>
        <v>нд</v>
      </c>
      <c r="AZ47" s="19" t="str">
        <f t="shared" si="133"/>
        <v>нд</v>
      </c>
      <c r="BA47" s="19" t="str">
        <f t="shared" si="133"/>
        <v>нд</v>
      </c>
      <c r="BB47" s="19" t="str">
        <f t="shared" si="133"/>
        <v>нд</v>
      </c>
      <c r="BC47" s="19"/>
      <c r="BD47" s="19"/>
      <c r="BE47" s="19"/>
      <c r="BF47" s="19"/>
      <c r="BG47" s="19"/>
      <c r="BH47" s="19" t="str">
        <f t="shared" si="133"/>
        <v>нд</v>
      </c>
      <c r="BI47" s="19" t="str">
        <f t="shared" si="133"/>
        <v>нд</v>
      </c>
      <c r="BJ47" s="19" t="str">
        <f t="shared" si="133"/>
        <v>нд</v>
      </c>
      <c r="BK47" s="19" t="str">
        <f t="shared" si="133"/>
        <v>нд</v>
      </c>
      <c r="BL47" s="19" t="str">
        <f t="shared" si="133"/>
        <v>нд</v>
      </c>
      <c r="BM47" s="19"/>
      <c r="BN47" s="19"/>
      <c r="BO47" s="19"/>
      <c r="BP47" s="19"/>
      <c r="BQ47" s="19"/>
      <c r="BR47" s="19" t="str">
        <f t="shared" si="133"/>
        <v>нд</v>
      </c>
      <c r="BS47" s="19" t="str">
        <f t="shared" si="133"/>
        <v>нд</v>
      </c>
      <c r="BT47" s="19" t="str">
        <f t="shared" si="133"/>
        <v>нд</v>
      </c>
      <c r="BU47" s="19" t="str">
        <f t="shared" si="133"/>
        <v>нд</v>
      </c>
      <c r="BV47" s="19" t="str">
        <f t="shared" si="133"/>
        <v>нд</v>
      </c>
      <c r="BW47" s="19"/>
      <c r="BX47" s="19"/>
      <c r="BY47" s="19"/>
      <c r="BZ47" s="19"/>
      <c r="CA47" s="19"/>
      <c r="CB47" s="19" t="str">
        <f t="shared" si="133"/>
        <v>нд</v>
      </c>
      <c r="CC47" s="19" t="str">
        <f t="shared" si="133"/>
        <v>нд</v>
      </c>
      <c r="CD47" s="19" t="str">
        <f t="shared" si="133"/>
        <v>нд</v>
      </c>
      <c r="CE47" s="19" t="str">
        <f t="shared" si="133"/>
        <v>нд</v>
      </c>
      <c r="CF47" s="19" t="str">
        <f t="shared" si="133"/>
        <v>нд</v>
      </c>
      <c r="CG47" s="19"/>
      <c r="CH47" s="19"/>
      <c r="CI47" s="19"/>
      <c r="CJ47" s="19"/>
      <c r="CK47" s="19"/>
      <c r="CL47" s="21" t="e">
        <v>#VALUE!</v>
      </c>
      <c r="CM47" s="19" t="str">
        <f t="shared" si="133"/>
        <v>нд</v>
      </c>
      <c r="CN47" s="19" t="str">
        <f t="shared" si="133"/>
        <v>нд</v>
      </c>
      <c r="CO47" s="19" t="str">
        <f>CO48</f>
        <v>нд</v>
      </c>
      <c r="CP47" s="19" t="str">
        <f t="shared" si="133"/>
        <v>нд</v>
      </c>
      <c r="CQ47" s="19"/>
      <c r="CR47" s="19"/>
      <c r="CS47" s="19"/>
      <c r="CT47" s="19"/>
      <c r="CU47" s="21" t="e">
        <f t="shared" si="118"/>
        <v>#VALUE!</v>
      </c>
      <c r="CV47" s="16" t="s">
        <v>103</v>
      </c>
    </row>
    <row r="48" spans="1:100" s="8" customFormat="1" ht="78.75" x14ac:dyDescent="0.25">
      <c r="A48" s="17" t="s">
        <v>49</v>
      </c>
      <c r="B48" s="18" t="s">
        <v>50</v>
      </c>
      <c r="C48" s="16" t="s">
        <v>112</v>
      </c>
      <c r="D48" s="16" t="s">
        <v>103</v>
      </c>
      <c r="E48" s="16" t="s">
        <v>103</v>
      </c>
      <c r="F48" s="16" t="s">
        <v>103</v>
      </c>
      <c r="G48" s="16" t="s">
        <v>103</v>
      </c>
      <c r="H48" s="19" t="s">
        <v>103</v>
      </c>
      <c r="I48" s="19" t="s">
        <v>103</v>
      </c>
      <c r="J48" s="16" t="s">
        <v>103</v>
      </c>
      <c r="K48" s="16" t="s">
        <v>103</v>
      </c>
      <c r="L48" s="16" t="s">
        <v>103</v>
      </c>
      <c r="M48" s="16" t="s">
        <v>103</v>
      </c>
      <c r="N48" s="19" t="s">
        <v>103</v>
      </c>
      <c r="O48" s="19" t="s">
        <v>103</v>
      </c>
      <c r="P48" s="19" t="s">
        <v>103</v>
      </c>
      <c r="Q48" s="19" t="s">
        <v>103</v>
      </c>
      <c r="R48" s="19" t="s">
        <v>103</v>
      </c>
      <c r="S48" s="19"/>
      <c r="T48" s="19" t="s">
        <v>103</v>
      </c>
      <c r="U48" s="19" t="s">
        <v>103</v>
      </c>
      <c r="V48" s="26" t="str">
        <f t="shared" si="132"/>
        <v>нд</v>
      </c>
      <c r="W48" s="26" t="s">
        <v>103</v>
      </c>
      <c r="X48" s="19" t="s">
        <v>103</v>
      </c>
      <c r="Y48" s="19" t="s">
        <v>103</v>
      </c>
      <c r="Z48" s="19" t="s">
        <v>103</v>
      </c>
      <c r="AA48" s="19" t="s">
        <v>103</v>
      </c>
      <c r="AB48" s="19" t="s">
        <v>103</v>
      </c>
      <c r="AC48" s="19" t="s">
        <v>103</v>
      </c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19" t="s">
        <v>103</v>
      </c>
      <c r="AO48" s="19" t="s">
        <v>103</v>
      </c>
      <c r="AP48" s="19" t="s">
        <v>103</v>
      </c>
      <c r="AQ48" s="19" t="s">
        <v>103</v>
      </c>
      <c r="AR48" s="19" t="s">
        <v>103</v>
      </c>
      <c r="AS48" s="19">
        <f t="shared" si="121"/>
        <v>0</v>
      </c>
      <c r="AT48" s="19" t="s">
        <v>103</v>
      </c>
      <c r="AU48" s="19" t="s">
        <v>103</v>
      </c>
      <c r="AV48" s="19" t="s">
        <v>103</v>
      </c>
      <c r="AW48" s="19" t="s">
        <v>103</v>
      </c>
      <c r="AX48" s="19" t="s">
        <v>103</v>
      </c>
      <c r="AY48" s="19" t="s">
        <v>103</v>
      </c>
      <c r="AZ48" s="19" t="s">
        <v>103</v>
      </c>
      <c r="BA48" s="19" t="s">
        <v>103</v>
      </c>
      <c r="BB48" s="19" t="s">
        <v>103</v>
      </c>
      <c r="BC48" s="19"/>
      <c r="BD48" s="19"/>
      <c r="BE48" s="19"/>
      <c r="BF48" s="19"/>
      <c r="BG48" s="19"/>
      <c r="BH48" s="19" t="s">
        <v>103</v>
      </c>
      <c r="BI48" s="19" t="s">
        <v>103</v>
      </c>
      <c r="BJ48" s="19" t="s">
        <v>103</v>
      </c>
      <c r="BK48" s="19" t="s">
        <v>103</v>
      </c>
      <c r="BL48" s="19" t="s">
        <v>103</v>
      </c>
      <c r="BM48" s="19"/>
      <c r="BN48" s="19"/>
      <c r="BO48" s="19"/>
      <c r="BP48" s="19"/>
      <c r="BQ48" s="19"/>
      <c r="BR48" s="19" t="s">
        <v>103</v>
      </c>
      <c r="BS48" s="19" t="s">
        <v>103</v>
      </c>
      <c r="BT48" s="19" t="s">
        <v>103</v>
      </c>
      <c r="BU48" s="19" t="s">
        <v>103</v>
      </c>
      <c r="BV48" s="19" t="s">
        <v>103</v>
      </c>
      <c r="BW48" s="19"/>
      <c r="BX48" s="19"/>
      <c r="BY48" s="19"/>
      <c r="BZ48" s="19"/>
      <c r="CA48" s="19"/>
      <c r="CB48" s="19" t="s">
        <v>103</v>
      </c>
      <c r="CC48" s="19" t="s">
        <v>103</v>
      </c>
      <c r="CD48" s="19" t="s">
        <v>103</v>
      </c>
      <c r="CE48" s="19" t="s">
        <v>103</v>
      </c>
      <c r="CF48" s="19" t="s">
        <v>103</v>
      </c>
      <c r="CG48" s="19"/>
      <c r="CH48" s="19"/>
      <c r="CI48" s="19"/>
      <c r="CJ48" s="19"/>
      <c r="CK48" s="19"/>
      <c r="CL48" s="21" t="e">
        <v>#VALUE!</v>
      </c>
      <c r="CM48" s="19" t="s">
        <v>103</v>
      </c>
      <c r="CN48" s="19" t="s">
        <v>103</v>
      </c>
      <c r="CO48" s="19" t="s">
        <v>103</v>
      </c>
      <c r="CP48" s="21" t="s">
        <v>103</v>
      </c>
      <c r="CQ48" s="19"/>
      <c r="CR48" s="19"/>
      <c r="CS48" s="19"/>
      <c r="CT48" s="19"/>
      <c r="CU48" s="21" t="e">
        <f t="shared" si="118"/>
        <v>#VALUE!</v>
      </c>
      <c r="CV48" s="16" t="s">
        <v>103</v>
      </c>
    </row>
    <row r="49" spans="1:100" s="8" customFormat="1" ht="78.75" x14ac:dyDescent="0.25">
      <c r="A49" s="17" t="s">
        <v>51</v>
      </c>
      <c r="B49" s="18" t="s">
        <v>52</v>
      </c>
      <c r="C49" s="16" t="s">
        <v>103</v>
      </c>
      <c r="D49" s="16" t="s">
        <v>103</v>
      </c>
      <c r="E49" s="16" t="s">
        <v>103</v>
      </c>
      <c r="F49" s="16" t="s">
        <v>103</v>
      </c>
      <c r="G49" s="16" t="s">
        <v>103</v>
      </c>
      <c r="H49" s="19">
        <v>0</v>
      </c>
      <c r="I49" s="19">
        <v>0</v>
      </c>
      <c r="J49" s="16" t="s">
        <v>103</v>
      </c>
      <c r="K49" s="16"/>
      <c r="L49" s="16"/>
      <c r="M49" s="16"/>
      <c r="N49" s="19" t="s">
        <v>103</v>
      </c>
      <c r="O49" s="19">
        <v>0</v>
      </c>
      <c r="P49" s="19">
        <v>0</v>
      </c>
      <c r="Q49" s="19">
        <v>0</v>
      </c>
      <c r="R49" s="19"/>
      <c r="S49" s="19"/>
      <c r="T49" s="19" t="s">
        <v>103</v>
      </c>
      <c r="U49" s="19">
        <f t="shared" si="128"/>
        <v>0</v>
      </c>
      <c r="V49" s="19" t="s">
        <v>103</v>
      </c>
      <c r="W49" s="19">
        <v>0</v>
      </c>
      <c r="X49" s="19">
        <f t="shared" si="120"/>
        <v>0</v>
      </c>
      <c r="Y49" s="19">
        <v>0</v>
      </c>
      <c r="Z49" s="19">
        <v>0</v>
      </c>
      <c r="AA49" s="19">
        <v>0</v>
      </c>
      <c r="AB49" s="19">
        <v>0</v>
      </c>
      <c r="AC49" s="19">
        <v>0</v>
      </c>
      <c r="AD49" s="19"/>
      <c r="AE49" s="19"/>
      <c r="AF49" s="19"/>
      <c r="AG49" s="19"/>
      <c r="AH49" s="19"/>
      <c r="AI49" s="19"/>
      <c r="AJ49" s="19"/>
      <c r="AK49" s="19"/>
      <c r="AL49" s="19"/>
      <c r="AM49" s="19"/>
      <c r="AN49" s="19">
        <v>0</v>
      </c>
      <c r="AO49" s="19" t="s">
        <v>103</v>
      </c>
      <c r="AP49" s="21">
        <v>0</v>
      </c>
      <c r="AQ49" s="21" t="s">
        <v>103</v>
      </c>
      <c r="AR49" s="21">
        <v>0</v>
      </c>
      <c r="AS49" s="19">
        <f t="shared" si="121"/>
        <v>0</v>
      </c>
      <c r="AT49" s="21">
        <v>0</v>
      </c>
      <c r="AU49" s="21">
        <v>0</v>
      </c>
      <c r="AV49" s="21" t="s">
        <v>103</v>
      </c>
      <c r="AW49" s="21">
        <v>0</v>
      </c>
      <c r="AX49" s="21">
        <v>0</v>
      </c>
      <c r="AY49" s="21">
        <v>0</v>
      </c>
      <c r="AZ49" s="21">
        <v>0</v>
      </c>
      <c r="BA49" s="21">
        <v>0</v>
      </c>
      <c r="BB49" s="21">
        <v>0</v>
      </c>
      <c r="BC49" s="21"/>
      <c r="BD49" s="21"/>
      <c r="BE49" s="21"/>
      <c r="BF49" s="21"/>
      <c r="BG49" s="21"/>
      <c r="BH49" s="21">
        <v>0</v>
      </c>
      <c r="BI49" s="21">
        <v>0</v>
      </c>
      <c r="BJ49" s="21">
        <v>0</v>
      </c>
      <c r="BK49" s="21">
        <v>0</v>
      </c>
      <c r="BL49" s="21">
        <v>0</v>
      </c>
      <c r="BM49" s="21"/>
      <c r="BN49" s="21"/>
      <c r="BO49" s="21"/>
      <c r="BP49" s="21"/>
      <c r="BQ49" s="21"/>
      <c r="BR49" s="21">
        <v>0</v>
      </c>
      <c r="BS49" s="21">
        <v>0</v>
      </c>
      <c r="BT49" s="21">
        <v>0</v>
      </c>
      <c r="BU49" s="21">
        <v>0</v>
      </c>
      <c r="BV49" s="21">
        <v>0</v>
      </c>
      <c r="BW49" s="21"/>
      <c r="BX49" s="21"/>
      <c r="BY49" s="21"/>
      <c r="BZ49" s="21"/>
      <c r="CA49" s="21"/>
      <c r="CB49" s="21">
        <v>0</v>
      </c>
      <c r="CC49" s="21">
        <v>0</v>
      </c>
      <c r="CD49" s="21">
        <v>0</v>
      </c>
      <c r="CE49" s="21">
        <v>0</v>
      </c>
      <c r="CF49" s="21">
        <v>0</v>
      </c>
      <c r="CG49" s="21"/>
      <c r="CH49" s="21"/>
      <c r="CI49" s="21"/>
      <c r="CJ49" s="21"/>
      <c r="CK49" s="21"/>
      <c r="CL49" s="21">
        <v>0</v>
      </c>
      <c r="CM49" s="21">
        <v>0</v>
      </c>
      <c r="CN49" s="21">
        <v>0</v>
      </c>
      <c r="CO49" s="21">
        <v>0</v>
      </c>
      <c r="CP49" s="21">
        <v>0</v>
      </c>
      <c r="CQ49" s="19"/>
      <c r="CR49" s="19"/>
      <c r="CS49" s="19"/>
      <c r="CT49" s="19"/>
      <c r="CU49" s="21">
        <f t="shared" si="118"/>
        <v>0</v>
      </c>
      <c r="CV49" s="16" t="s">
        <v>103</v>
      </c>
    </row>
    <row r="50" spans="1:100" s="8" customFormat="1" ht="47.25" x14ac:dyDescent="0.25">
      <c r="A50" s="17" t="s">
        <v>53</v>
      </c>
      <c r="B50" s="18" t="s">
        <v>54</v>
      </c>
      <c r="C50" s="16" t="s">
        <v>112</v>
      </c>
      <c r="D50" s="16" t="s">
        <v>103</v>
      </c>
      <c r="E50" s="16" t="s">
        <v>103</v>
      </c>
      <c r="F50" s="16" t="s">
        <v>103</v>
      </c>
      <c r="G50" s="16" t="s">
        <v>103</v>
      </c>
      <c r="H50" s="19">
        <f>H51+H83</f>
        <v>136.50911884627621</v>
      </c>
      <c r="I50" s="19">
        <f>I51+I83</f>
        <v>1008.6189599326823</v>
      </c>
      <c r="J50" s="19" t="s">
        <v>103</v>
      </c>
      <c r="K50" s="19">
        <f t="shared" ref="K50:L50" si="134">K51+K83</f>
        <v>138.40107316113622</v>
      </c>
      <c r="L50" s="19">
        <f t="shared" si="134"/>
        <v>1025.9768415134822</v>
      </c>
      <c r="M50" s="19" t="s">
        <v>103</v>
      </c>
      <c r="N50" s="19" t="s">
        <v>103</v>
      </c>
      <c r="O50" s="19">
        <f t="shared" ref="O50:AB50" si="135">O51+O83</f>
        <v>2.0511050879999999</v>
      </c>
      <c r="P50" s="19">
        <f t="shared" si="135"/>
        <v>3517.4468233545608</v>
      </c>
      <c r="Q50" s="19">
        <f t="shared" si="135"/>
        <v>3893.1818367749256</v>
      </c>
      <c r="R50" s="19">
        <f t="shared" si="135"/>
        <v>3519.004923817201</v>
      </c>
      <c r="S50" s="19">
        <f t="shared" si="135"/>
        <v>4279.553478249788</v>
      </c>
      <c r="T50" s="19">
        <f>T51+T83</f>
        <v>1208.3885721140402</v>
      </c>
      <c r="U50" s="19">
        <f>U51+U83</f>
        <v>1214.219832451822</v>
      </c>
      <c r="V50" s="26">
        <f t="shared" ref="V50:V66" si="136">T50</f>
        <v>1208.3885721140402</v>
      </c>
      <c r="W50" s="26">
        <f>T50-Y50-AD50</f>
        <v>1084.8522996781203</v>
      </c>
      <c r="X50" s="19">
        <f t="shared" si="135"/>
        <v>1083.3406552998217</v>
      </c>
      <c r="Y50" s="19">
        <f t="shared" si="135"/>
        <v>3.4705392000000002</v>
      </c>
      <c r="Z50" s="19">
        <f t="shared" si="135"/>
        <v>0</v>
      </c>
      <c r="AA50" s="19">
        <f t="shared" si="135"/>
        <v>0</v>
      </c>
      <c r="AB50" s="19">
        <f t="shared" si="135"/>
        <v>3.4705392000000002</v>
      </c>
      <c r="AC50" s="19">
        <f>AC51+AC83</f>
        <v>0</v>
      </c>
      <c r="AD50" s="19">
        <f t="shared" ref="AD50:AM50" si="137">AD51+AD83</f>
        <v>120.06573323591998</v>
      </c>
      <c r="AE50" s="19">
        <f t="shared" si="137"/>
        <v>0</v>
      </c>
      <c r="AF50" s="19">
        <f t="shared" si="137"/>
        <v>0</v>
      </c>
      <c r="AG50" s="19">
        <f t="shared" si="137"/>
        <v>120.06573323591998</v>
      </c>
      <c r="AH50" s="19">
        <f t="shared" si="137"/>
        <v>0</v>
      </c>
      <c r="AI50" s="19">
        <f t="shared" si="137"/>
        <v>127.40863795200002</v>
      </c>
      <c r="AJ50" s="19">
        <f t="shared" si="137"/>
        <v>0</v>
      </c>
      <c r="AK50" s="19">
        <f t="shared" si="137"/>
        <v>0</v>
      </c>
      <c r="AL50" s="19">
        <f t="shared" si="137"/>
        <v>127.40863795200002</v>
      </c>
      <c r="AM50" s="19">
        <f t="shared" si="137"/>
        <v>0</v>
      </c>
      <c r="AN50" s="19">
        <f t="shared" ref="AN50:CU50" si="138">AN51+AN83</f>
        <v>217.0348024761</v>
      </c>
      <c r="AO50" s="19">
        <f t="shared" si="138"/>
        <v>0</v>
      </c>
      <c r="AP50" s="19">
        <f t="shared" si="138"/>
        <v>0</v>
      </c>
      <c r="AQ50" s="19">
        <f t="shared" si="138"/>
        <v>217.0348024761</v>
      </c>
      <c r="AR50" s="19">
        <f t="shared" si="138"/>
        <v>0</v>
      </c>
      <c r="AS50" s="19">
        <f>AS51+AS83</f>
        <v>211.67439183875999</v>
      </c>
      <c r="AT50" s="19">
        <f t="shared" si="138"/>
        <v>0</v>
      </c>
      <c r="AU50" s="19">
        <f t="shared" si="138"/>
        <v>0</v>
      </c>
      <c r="AV50" s="19">
        <f t="shared" si="138"/>
        <v>211.67439183875999</v>
      </c>
      <c r="AW50" s="19">
        <f t="shared" si="138"/>
        <v>0</v>
      </c>
      <c r="AX50" s="19">
        <f t="shared" si="138"/>
        <v>216.51044055852</v>
      </c>
      <c r="AY50" s="19">
        <f t="shared" si="138"/>
        <v>0</v>
      </c>
      <c r="AZ50" s="19">
        <f t="shared" si="138"/>
        <v>0</v>
      </c>
      <c r="BA50" s="19">
        <f t="shared" si="138"/>
        <v>216.51044055852</v>
      </c>
      <c r="BB50" s="19">
        <f t="shared" si="138"/>
        <v>0</v>
      </c>
      <c r="BC50" s="19">
        <f t="shared" si="138"/>
        <v>222.41031190556166</v>
      </c>
      <c r="BD50" s="19">
        <f t="shared" si="138"/>
        <v>0</v>
      </c>
      <c r="BE50" s="19">
        <f t="shared" si="138"/>
        <v>0</v>
      </c>
      <c r="BF50" s="19">
        <f t="shared" si="138"/>
        <v>222.41031190556166</v>
      </c>
      <c r="BG50" s="19">
        <f t="shared" si="138"/>
        <v>0</v>
      </c>
      <c r="BH50" s="19">
        <f t="shared" si="138"/>
        <v>213.71655396450001</v>
      </c>
      <c r="BI50" s="19">
        <f t="shared" si="138"/>
        <v>0</v>
      </c>
      <c r="BJ50" s="19">
        <f t="shared" si="138"/>
        <v>0</v>
      </c>
      <c r="BK50" s="19">
        <f t="shared" si="138"/>
        <v>213.71655396450001</v>
      </c>
      <c r="BL50" s="19">
        <f t="shared" si="138"/>
        <v>0</v>
      </c>
      <c r="BM50" s="19">
        <f t="shared" si="138"/>
        <v>213.71655396450001</v>
      </c>
      <c r="BN50" s="19">
        <f t="shared" si="138"/>
        <v>0</v>
      </c>
      <c r="BO50" s="19">
        <f t="shared" si="138"/>
        <v>0</v>
      </c>
      <c r="BP50" s="19">
        <f t="shared" si="138"/>
        <v>213.71655396450001</v>
      </c>
      <c r="BQ50" s="19">
        <f t="shared" si="138"/>
        <v>0</v>
      </c>
      <c r="BR50" s="19">
        <f t="shared" si="138"/>
        <v>220.46851981367999</v>
      </c>
      <c r="BS50" s="19">
        <f t="shared" si="138"/>
        <v>0</v>
      </c>
      <c r="BT50" s="19">
        <f t="shared" si="138"/>
        <v>0</v>
      </c>
      <c r="BU50" s="19">
        <f t="shared" si="138"/>
        <v>220.46851981367999</v>
      </c>
      <c r="BV50" s="19">
        <f t="shared" si="138"/>
        <v>0</v>
      </c>
      <c r="BW50" s="19">
        <f t="shared" si="138"/>
        <v>220.46851981367999</v>
      </c>
      <c r="BX50" s="19">
        <f t="shared" si="138"/>
        <v>0</v>
      </c>
      <c r="BY50" s="19">
        <f t="shared" si="138"/>
        <v>0</v>
      </c>
      <c r="BZ50" s="19">
        <f t="shared" si="138"/>
        <v>220.46851981367999</v>
      </c>
      <c r="CA50" s="19">
        <f t="shared" si="138"/>
        <v>0</v>
      </c>
      <c r="CB50" s="19">
        <f t="shared" si="138"/>
        <v>215.07087777731999</v>
      </c>
      <c r="CC50" s="19">
        <f t="shared" si="138"/>
        <v>0</v>
      </c>
      <c r="CD50" s="19">
        <f t="shared" si="138"/>
        <v>0</v>
      </c>
      <c r="CE50" s="19">
        <f>CE51+CE83</f>
        <v>215.07087777731999</v>
      </c>
      <c r="CF50" s="19">
        <f t="shared" si="138"/>
        <v>0</v>
      </c>
      <c r="CG50" s="19">
        <f t="shared" si="138"/>
        <v>215.07087777731999</v>
      </c>
      <c r="CH50" s="19">
        <f t="shared" si="138"/>
        <v>0</v>
      </c>
      <c r="CI50" s="19">
        <f t="shared" si="138"/>
        <v>0</v>
      </c>
      <c r="CJ50" s="19">
        <f t="shared" si="138"/>
        <v>215.07087777731999</v>
      </c>
      <c r="CK50" s="19">
        <f t="shared" si="138"/>
        <v>0</v>
      </c>
      <c r="CL50" s="19">
        <v>1202.8669278260404</v>
      </c>
      <c r="CM50" s="19">
        <f t="shared" si="138"/>
        <v>0</v>
      </c>
      <c r="CN50" s="19">
        <f t="shared" si="138"/>
        <v>0</v>
      </c>
      <c r="CO50" s="19">
        <f t="shared" si="138"/>
        <v>1202.8669278260404</v>
      </c>
      <c r="CP50" s="19">
        <f t="shared" si="138"/>
        <v>0</v>
      </c>
      <c r="CQ50" s="19">
        <f t="shared" si="138"/>
        <v>1210.7492932518219</v>
      </c>
      <c r="CR50" s="19">
        <f t="shared" si="138"/>
        <v>0</v>
      </c>
      <c r="CS50" s="19">
        <f t="shared" si="138"/>
        <v>0</v>
      </c>
      <c r="CT50" s="19">
        <f t="shared" si="138"/>
        <v>1210.7492932518219</v>
      </c>
      <c r="CU50" s="19">
        <f t="shared" si="138"/>
        <v>0</v>
      </c>
      <c r="CV50" s="16" t="s">
        <v>103</v>
      </c>
    </row>
    <row r="51" spans="1:100" s="8" customFormat="1" ht="78.75" x14ac:dyDescent="0.25">
      <c r="A51" s="17" t="s">
        <v>55</v>
      </c>
      <c r="B51" s="18" t="s">
        <v>56</v>
      </c>
      <c r="C51" s="16" t="s">
        <v>112</v>
      </c>
      <c r="D51" s="16" t="s">
        <v>103</v>
      </c>
      <c r="E51" s="16" t="s">
        <v>103</v>
      </c>
      <c r="F51" s="16" t="s">
        <v>103</v>
      </c>
      <c r="G51" s="16" t="s">
        <v>103</v>
      </c>
      <c r="H51" s="19">
        <f>H52</f>
        <v>131.23559100427622</v>
      </c>
      <c r="I51" s="19">
        <f>I52</f>
        <v>959.97608512790225</v>
      </c>
      <c r="J51" s="19" t="s">
        <v>103</v>
      </c>
      <c r="K51" s="19">
        <f t="shared" ref="K51:L51" si="139">K52</f>
        <v>132.33619094313622</v>
      </c>
      <c r="L51" s="19">
        <f t="shared" si="139"/>
        <v>969.97509579094219</v>
      </c>
      <c r="M51" s="19" t="s">
        <v>103</v>
      </c>
      <c r="N51" s="19" t="s">
        <v>103</v>
      </c>
      <c r="O51" s="19">
        <f>O52</f>
        <v>2.0511050879999999</v>
      </c>
      <c r="P51" s="19">
        <f t="shared" ref="P51:CQ51" si="140">P52</f>
        <v>3395.298134283601</v>
      </c>
      <c r="Q51" s="19">
        <f t="shared" si="140"/>
        <v>3749.2704413922302</v>
      </c>
      <c r="R51" s="19">
        <f t="shared" si="140"/>
        <v>3395.298134283601</v>
      </c>
      <c r="S51" s="19">
        <f t="shared" si="140"/>
        <v>4116.7020300138502</v>
      </c>
      <c r="T51" s="19">
        <f>T52</f>
        <v>1148.1942996276603</v>
      </c>
      <c r="U51" s="19">
        <f t="shared" si="140"/>
        <v>1147.7289793799619</v>
      </c>
      <c r="V51" s="26">
        <f t="shared" si="136"/>
        <v>1148.1942996276603</v>
      </c>
      <c r="W51" s="26">
        <f>T51-Y51-AD51</f>
        <v>1026.3496818377403</v>
      </c>
      <c r="X51" s="19">
        <f t="shared" si="140"/>
        <v>1018.4219064959618</v>
      </c>
      <c r="Y51" s="19">
        <f t="shared" si="140"/>
        <v>3.4705392000000002</v>
      </c>
      <c r="Z51" s="19">
        <f t="shared" si="140"/>
        <v>0</v>
      </c>
      <c r="AA51" s="19">
        <f t="shared" si="140"/>
        <v>0</v>
      </c>
      <c r="AB51" s="19">
        <f t="shared" si="140"/>
        <v>3.4705392000000002</v>
      </c>
      <c r="AC51" s="19">
        <f>AC52</f>
        <v>0</v>
      </c>
      <c r="AD51" s="19">
        <f t="shared" ref="AD51:AM51" si="141">AD52</f>
        <v>118.37407858991998</v>
      </c>
      <c r="AE51" s="19">
        <f t="shared" si="141"/>
        <v>0</v>
      </c>
      <c r="AF51" s="19">
        <f t="shared" si="141"/>
        <v>0</v>
      </c>
      <c r="AG51" s="19">
        <f t="shared" si="141"/>
        <v>118.37407858991998</v>
      </c>
      <c r="AH51" s="19">
        <f t="shared" si="141"/>
        <v>0</v>
      </c>
      <c r="AI51" s="19">
        <f t="shared" si="141"/>
        <v>125.83653368400002</v>
      </c>
      <c r="AJ51" s="19">
        <f t="shared" si="141"/>
        <v>0</v>
      </c>
      <c r="AK51" s="19">
        <f t="shared" si="141"/>
        <v>0</v>
      </c>
      <c r="AL51" s="19">
        <f t="shared" si="141"/>
        <v>125.83653368400002</v>
      </c>
      <c r="AM51" s="19">
        <f t="shared" si="141"/>
        <v>0</v>
      </c>
      <c r="AN51" s="19">
        <f t="shared" si="140"/>
        <v>199.70533328825999</v>
      </c>
      <c r="AO51" s="19">
        <f t="shared" si="140"/>
        <v>0</v>
      </c>
      <c r="AP51" s="19">
        <f t="shared" si="140"/>
        <v>0</v>
      </c>
      <c r="AQ51" s="19">
        <f t="shared" si="140"/>
        <v>199.70533328825999</v>
      </c>
      <c r="AR51" s="19">
        <f t="shared" si="140"/>
        <v>0</v>
      </c>
      <c r="AS51" s="19">
        <f t="shared" si="140"/>
        <v>187.92879168744</v>
      </c>
      <c r="AT51" s="19">
        <f t="shared" si="140"/>
        <v>0</v>
      </c>
      <c r="AU51" s="19">
        <f t="shared" si="140"/>
        <v>0</v>
      </c>
      <c r="AV51" s="19">
        <f t="shared" si="140"/>
        <v>187.92879168744</v>
      </c>
      <c r="AW51" s="19">
        <f t="shared" si="140"/>
        <v>0</v>
      </c>
      <c r="AX51" s="19">
        <f t="shared" si="140"/>
        <v>216.51044055852</v>
      </c>
      <c r="AY51" s="19">
        <f t="shared" si="140"/>
        <v>0</v>
      </c>
      <c r="AZ51" s="19">
        <f t="shared" si="140"/>
        <v>0</v>
      </c>
      <c r="BA51" s="19">
        <f t="shared" si="140"/>
        <v>216.51044055852</v>
      </c>
      <c r="BB51" s="19">
        <f t="shared" si="140"/>
        <v>0</v>
      </c>
      <c r="BC51" s="19">
        <f t="shared" si="140"/>
        <v>222.41031190556166</v>
      </c>
      <c r="BD51" s="19">
        <f t="shared" si="140"/>
        <v>0</v>
      </c>
      <c r="BE51" s="19">
        <f t="shared" si="140"/>
        <v>0</v>
      </c>
      <c r="BF51" s="19">
        <f t="shared" si="140"/>
        <v>222.41031190556166</v>
      </c>
      <c r="BG51" s="19">
        <f t="shared" si="140"/>
        <v>0</v>
      </c>
      <c r="BH51" s="19">
        <f t="shared" si="140"/>
        <v>213.71655396450001</v>
      </c>
      <c r="BI51" s="19">
        <f t="shared" si="140"/>
        <v>0</v>
      </c>
      <c r="BJ51" s="19">
        <f t="shared" si="140"/>
        <v>0</v>
      </c>
      <c r="BK51" s="19">
        <f t="shared" si="140"/>
        <v>213.71655396450001</v>
      </c>
      <c r="BL51" s="19">
        <f t="shared" si="140"/>
        <v>0</v>
      </c>
      <c r="BM51" s="19">
        <f t="shared" si="140"/>
        <v>213.71655396450001</v>
      </c>
      <c r="BN51" s="19">
        <f t="shared" si="140"/>
        <v>0</v>
      </c>
      <c r="BO51" s="19">
        <f t="shared" si="140"/>
        <v>0</v>
      </c>
      <c r="BP51" s="19">
        <f t="shared" si="140"/>
        <v>213.71655396450001</v>
      </c>
      <c r="BQ51" s="19">
        <f t="shared" si="140"/>
        <v>0</v>
      </c>
      <c r="BR51" s="19">
        <f t="shared" si="140"/>
        <v>216.09648188567999</v>
      </c>
      <c r="BS51" s="19">
        <f t="shared" si="140"/>
        <v>0</v>
      </c>
      <c r="BT51" s="19">
        <f t="shared" si="140"/>
        <v>0</v>
      </c>
      <c r="BU51" s="19">
        <f t="shared" si="140"/>
        <v>216.09648188567999</v>
      </c>
      <c r="BV51" s="19">
        <f t="shared" si="140"/>
        <v>0</v>
      </c>
      <c r="BW51" s="19">
        <f t="shared" si="140"/>
        <v>216.09648188567999</v>
      </c>
      <c r="BX51" s="19">
        <f t="shared" si="140"/>
        <v>0</v>
      </c>
      <c r="BY51" s="19">
        <f t="shared" si="140"/>
        <v>0</v>
      </c>
      <c r="BZ51" s="19">
        <f t="shared" si="140"/>
        <v>216.09648188567999</v>
      </c>
      <c r="CA51" s="19">
        <f t="shared" si="140"/>
        <v>0</v>
      </c>
      <c r="CB51" s="19">
        <f t="shared" si="140"/>
        <v>178.26976705278</v>
      </c>
      <c r="CC51" s="19">
        <f t="shared" si="140"/>
        <v>0</v>
      </c>
      <c r="CD51" s="19">
        <f t="shared" si="140"/>
        <v>0</v>
      </c>
      <c r="CE51" s="19">
        <f t="shared" si="140"/>
        <v>178.26976705278</v>
      </c>
      <c r="CF51" s="19">
        <f t="shared" si="140"/>
        <v>0</v>
      </c>
      <c r="CG51" s="19">
        <f t="shared" si="140"/>
        <v>178.26976705278</v>
      </c>
      <c r="CH51" s="19">
        <f t="shared" si="140"/>
        <v>0</v>
      </c>
      <c r="CI51" s="19">
        <f t="shared" si="140"/>
        <v>0</v>
      </c>
      <c r="CJ51" s="19">
        <f t="shared" si="140"/>
        <v>178.26976705278</v>
      </c>
      <c r="CK51" s="19">
        <f t="shared" si="140"/>
        <v>0</v>
      </c>
      <c r="CL51" s="19">
        <v>1142.6726553396604</v>
      </c>
      <c r="CM51" s="19">
        <f t="shared" si="140"/>
        <v>0</v>
      </c>
      <c r="CN51" s="19">
        <f t="shared" si="140"/>
        <v>0</v>
      </c>
      <c r="CO51" s="19">
        <f t="shared" si="140"/>
        <v>1142.6726553396604</v>
      </c>
      <c r="CP51" s="19">
        <f t="shared" si="140"/>
        <v>0</v>
      </c>
      <c r="CQ51" s="19">
        <f t="shared" si="140"/>
        <v>1144.2584401799618</v>
      </c>
      <c r="CR51" s="19">
        <f t="shared" ref="CR51:CU51" si="142">CR52</f>
        <v>0</v>
      </c>
      <c r="CS51" s="19">
        <f t="shared" si="142"/>
        <v>0</v>
      </c>
      <c r="CT51" s="19">
        <f t="shared" si="142"/>
        <v>1144.2584401799618</v>
      </c>
      <c r="CU51" s="19">
        <f t="shared" si="142"/>
        <v>0</v>
      </c>
      <c r="CV51" s="16" t="s">
        <v>103</v>
      </c>
    </row>
    <row r="52" spans="1:100" s="8" customFormat="1" ht="31.5" x14ac:dyDescent="0.25">
      <c r="A52" s="17" t="s">
        <v>57</v>
      </c>
      <c r="B52" s="18" t="s">
        <v>58</v>
      </c>
      <c r="C52" s="16" t="s">
        <v>112</v>
      </c>
      <c r="D52" s="16" t="s">
        <v>103</v>
      </c>
      <c r="E52" s="16" t="s">
        <v>103</v>
      </c>
      <c r="F52" s="16" t="s">
        <v>103</v>
      </c>
      <c r="G52" s="16" t="s">
        <v>103</v>
      </c>
      <c r="H52" s="19">
        <f>SUM(H53:H81)</f>
        <v>131.23559100427622</v>
      </c>
      <c r="I52" s="19">
        <f>SUM(I53:I81)</f>
        <v>959.97608512790225</v>
      </c>
      <c r="J52" s="19">
        <f t="shared" ref="J52:CI52" si="143">SUM(J53:J81)</f>
        <v>0</v>
      </c>
      <c r="K52" s="19">
        <f>SUM(K53:K81)</f>
        <v>132.33619094313622</v>
      </c>
      <c r="L52" s="19">
        <f t="shared" si="143"/>
        <v>969.97509579094219</v>
      </c>
      <c r="M52" s="19">
        <f t="shared" si="143"/>
        <v>0</v>
      </c>
      <c r="N52" s="19">
        <f t="shared" si="143"/>
        <v>0</v>
      </c>
      <c r="O52" s="19">
        <f t="shared" si="143"/>
        <v>2.0511050879999999</v>
      </c>
      <c r="P52" s="19">
        <f>SUM(P53:P81)</f>
        <v>3395.298134283601</v>
      </c>
      <c r="Q52" s="19">
        <f>SUM(Q53:Q81)</f>
        <v>3749.2704413922302</v>
      </c>
      <c r="R52" s="19">
        <f t="shared" ref="R52" si="144">SUM(R53:R81)</f>
        <v>3395.298134283601</v>
      </c>
      <c r="S52" s="19">
        <f>SUM(S53:S81)</f>
        <v>4116.7020300138502</v>
      </c>
      <c r="T52" s="19">
        <f>SUM(T53:T81)</f>
        <v>1148.1942996276603</v>
      </c>
      <c r="U52" s="19">
        <f>SUM(U53:U81)</f>
        <v>1147.7289793799619</v>
      </c>
      <c r="V52" s="26">
        <f t="shared" si="136"/>
        <v>1148.1942996276603</v>
      </c>
      <c r="W52" s="26">
        <f>T52-Y52-AD52</f>
        <v>1026.3496818377403</v>
      </c>
      <c r="X52" s="19">
        <f t="shared" si="143"/>
        <v>1018.4219064959618</v>
      </c>
      <c r="Y52" s="19">
        <f t="shared" si="143"/>
        <v>3.4705392000000002</v>
      </c>
      <c r="Z52" s="19">
        <f t="shared" si="143"/>
        <v>0</v>
      </c>
      <c r="AA52" s="19">
        <f t="shared" si="143"/>
        <v>0</v>
      </c>
      <c r="AB52" s="19">
        <f>SUM(AB53:AB81)</f>
        <v>3.4705392000000002</v>
      </c>
      <c r="AC52" s="19">
        <f t="shared" si="143"/>
        <v>0</v>
      </c>
      <c r="AD52" s="19">
        <f t="shared" si="143"/>
        <v>118.37407858991998</v>
      </c>
      <c r="AE52" s="19">
        <f t="shared" si="143"/>
        <v>0</v>
      </c>
      <c r="AF52" s="19">
        <f t="shared" si="143"/>
        <v>0</v>
      </c>
      <c r="AG52" s="19">
        <f t="shared" si="143"/>
        <v>118.37407858991998</v>
      </c>
      <c r="AH52" s="19">
        <f t="shared" si="143"/>
        <v>0</v>
      </c>
      <c r="AI52" s="19">
        <f t="shared" si="143"/>
        <v>125.83653368400002</v>
      </c>
      <c r="AJ52" s="19">
        <f t="shared" si="143"/>
        <v>0</v>
      </c>
      <c r="AK52" s="19">
        <f t="shared" si="143"/>
        <v>0</v>
      </c>
      <c r="AL52" s="19">
        <f t="shared" si="143"/>
        <v>125.83653368400002</v>
      </c>
      <c r="AM52" s="19">
        <f t="shared" si="143"/>
        <v>0</v>
      </c>
      <c r="AN52" s="19">
        <f t="shared" si="143"/>
        <v>199.70533328825999</v>
      </c>
      <c r="AO52" s="19">
        <f t="shared" si="143"/>
        <v>0</v>
      </c>
      <c r="AP52" s="19">
        <f t="shared" si="143"/>
        <v>0</v>
      </c>
      <c r="AQ52" s="19">
        <f t="shared" si="143"/>
        <v>199.70533328825999</v>
      </c>
      <c r="AR52" s="19">
        <f t="shared" si="143"/>
        <v>0</v>
      </c>
      <c r="AS52" s="19">
        <f>SUM(AS53:AS81)</f>
        <v>187.92879168744</v>
      </c>
      <c r="AT52" s="19">
        <f t="shared" si="143"/>
        <v>0</v>
      </c>
      <c r="AU52" s="19">
        <f t="shared" si="143"/>
        <v>0</v>
      </c>
      <c r="AV52" s="19">
        <f t="shared" si="143"/>
        <v>187.92879168744</v>
      </c>
      <c r="AW52" s="19">
        <f t="shared" si="143"/>
        <v>0</v>
      </c>
      <c r="AX52" s="19">
        <f t="shared" si="143"/>
        <v>216.51044055852</v>
      </c>
      <c r="AY52" s="19">
        <f t="shared" si="143"/>
        <v>0</v>
      </c>
      <c r="AZ52" s="19">
        <f t="shared" si="143"/>
        <v>0</v>
      </c>
      <c r="BA52" s="19">
        <f t="shared" si="143"/>
        <v>216.51044055852</v>
      </c>
      <c r="BB52" s="19">
        <f t="shared" si="143"/>
        <v>0</v>
      </c>
      <c r="BC52" s="19">
        <f t="shared" si="143"/>
        <v>222.41031190556166</v>
      </c>
      <c r="BD52" s="19">
        <f t="shared" si="143"/>
        <v>0</v>
      </c>
      <c r="BE52" s="19">
        <f t="shared" si="143"/>
        <v>0</v>
      </c>
      <c r="BF52" s="19">
        <f t="shared" si="143"/>
        <v>222.41031190556166</v>
      </c>
      <c r="BG52" s="19">
        <f t="shared" si="143"/>
        <v>0</v>
      </c>
      <c r="BH52" s="19">
        <f t="shared" si="143"/>
        <v>213.71655396450001</v>
      </c>
      <c r="BI52" s="19">
        <f t="shared" si="143"/>
        <v>0</v>
      </c>
      <c r="BJ52" s="19">
        <f t="shared" si="143"/>
        <v>0</v>
      </c>
      <c r="BK52" s="19">
        <f t="shared" si="143"/>
        <v>213.71655396450001</v>
      </c>
      <c r="BL52" s="19">
        <f t="shared" si="143"/>
        <v>0</v>
      </c>
      <c r="BM52" s="19">
        <f t="shared" si="143"/>
        <v>213.71655396450001</v>
      </c>
      <c r="BN52" s="19">
        <f t="shared" si="143"/>
        <v>0</v>
      </c>
      <c r="BO52" s="19">
        <f t="shared" si="143"/>
        <v>0</v>
      </c>
      <c r="BP52" s="19">
        <f t="shared" si="143"/>
        <v>213.71655396450001</v>
      </c>
      <c r="BQ52" s="19">
        <f t="shared" si="143"/>
        <v>0</v>
      </c>
      <c r="BR52" s="19">
        <f t="shared" si="143"/>
        <v>216.09648188567999</v>
      </c>
      <c r="BS52" s="19">
        <f t="shared" si="143"/>
        <v>0</v>
      </c>
      <c r="BT52" s="19">
        <f t="shared" si="143"/>
        <v>0</v>
      </c>
      <c r="BU52" s="19">
        <f t="shared" si="143"/>
        <v>216.09648188567999</v>
      </c>
      <c r="BV52" s="19">
        <f t="shared" si="143"/>
        <v>0</v>
      </c>
      <c r="BW52" s="19">
        <f t="shared" si="143"/>
        <v>216.09648188567999</v>
      </c>
      <c r="BX52" s="19">
        <f t="shared" si="143"/>
        <v>0</v>
      </c>
      <c r="BY52" s="19">
        <f t="shared" si="143"/>
        <v>0</v>
      </c>
      <c r="BZ52" s="19">
        <f t="shared" si="143"/>
        <v>216.09648188567999</v>
      </c>
      <c r="CA52" s="19">
        <f t="shared" si="143"/>
        <v>0</v>
      </c>
      <c r="CB52" s="19">
        <f t="shared" si="143"/>
        <v>178.26976705278</v>
      </c>
      <c r="CC52" s="19">
        <f t="shared" si="143"/>
        <v>0</v>
      </c>
      <c r="CD52" s="19">
        <f t="shared" si="143"/>
        <v>0</v>
      </c>
      <c r="CE52" s="19">
        <f t="shared" si="143"/>
        <v>178.26976705278</v>
      </c>
      <c r="CF52" s="19">
        <f t="shared" si="143"/>
        <v>0</v>
      </c>
      <c r="CG52" s="19">
        <f t="shared" si="143"/>
        <v>178.26976705278</v>
      </c>
      <c r="CH52" s="19">
        <f t="shared" ref="CH52" si="145">SUM(CH53:CH81)</f>
        <v>0</v>
      </c>
      <c r="CI52" s="19">
        <f t="shared" si="143"/>
        <v>0</v>
      </c>
      <c r="CJ52" s="19">
        <f t="shared" ref="CJ52:CK52" si="146">SUM(CJ53:CJ81)</f>
        <v>178.26976705278</v>
      </c>
      <c r="CK52" s="19">
        <f t="shared" si="146"/>
        <v>0</v>
      </c>
      <c r="CL52" s="19">
        <v>1142.6726553396604</v>
      </c>
      <c r="CM52" s="19">
        <f t="shared" ref="CM52:CU52" si="147">SUM(CM53:CM81)</f>
        <v>0</v>
      </c>
      <c r="CN52" s="19">
        <f t="shared" si="147"/>
        <v>0</v>
      </c>
      <c r="CO52" s="19">
        <f t="shared" si="147"/>
        <v>1142.6726553396604</v>
      </c>
      <c r="CP52" s="19">
        <f t="shared" si="147"/>
        <v>0</v>
      </c>
      <c r="CQ52" s="19">
        <f>SUM(CQ53:CQ81)</f>
        <v>1144.2584401799618</v>
      </c>
      <c r="CR52" s="19">
        <f t="shared" si="147"/>
        <v>0</v>
      </c>
      <c r="CS52" s="19">
        <f t="shared" si="147"/>
        <v>0</v>
      </c>
      <c r="CT52" s="19">
        <f t="shared" si="147"/>
        <v>1144.2584401799618</v>
      </c>
      <c r="CU52" s="19">
        <f t="shared" si="147"/>
        <v>0</v>
      </c>
      <c r="CV52" s="16" t="s">
        <v>103</v>
      </c>
    </row>
    <row r="53" spans="1:100" s="8" customFormat="1" ht="63" x14ac:dyDescent="0.25">
      <c r="A53" s="24" t="s">
        <v>106</v>
      </c>
      <c r="B53" s="20" t="s">
        <v>132</v>
      </c>
      <c r="C53" s="35" t="s">
        <v>133</v>
      </c>
      <c r="D53" s="16" t="s">
        <v>111</v>
      </c>
      <c r="E53" s="16">
        <v>2023</v>
      </c>
      <c r="F53" s="16">
        <v>2026</v>
      </c>
      <c r="G53" s="16">
        <v>2026</v>
      </c>
      <c r="H53" s="19">
        <f>9.91813708*1.2</f>
        <v>11.901764495999998</v>
      </c>
      <c r="I53" s="19">
        <f>76.985302*1.2</f>
        <v>92.382362400000005</v>
      </c>
      <c r="J53" s="22" t="s">
        <v>134</v>
      </c>
      <c r="K53" s="22">
        <f>H53</f>
        <v>11.901764495999998</v>
      </c>
      <c r="L53" s="22">
        <f>I53</f>
        <v>92.382362400000005</v>
      </c>
      <c r="M53" s="22" t="str">
        <f>J53</f>
        <v>ноябрь 2023 г.</v>
      </c>
      <c r="N53" s="16" t="s">
        <v>103</v>
      </c>
      <c r="O53" s="19">
        <v>0</v>
      </c>
      <c r="P53" s="19">
        <f>395392.82496/1000</f>
        <v>395.39282495999998</v>
      </c>
      <c r="Q53" s="19">
        <f>432248.07216692/1000</f>
        <v>432.24807216692</v>
      </c>
      <c r="R53" s="19">
        <f>395392.82496/1000</f>
        <v>395.39282495999998</v>
      </c>
      <c r="S53" s="19">
        <f>489666.808314246/1000</f>
        <v>489.666808314246</v>
      </c>
      <c r="T53" s="19">
        <f>106157.63241852/1000</f>
        <v>106.15763241852001</v>
      </c>
      <c r="U53" s="19">
        <f>Y53+CQ53</f>
        <v>106.15763241852001</v>
      </c>
      <c r="V53" s="26">
        <f t="shared" si="136"/>
        <v>106.15763241852001</v>
      </c>
      <c r="W53" s="26">
        <f>T53-Y53-AD53</f>
        <v>103.04709321852</v>
      </c>
      <c r="X53" s="19">
        <f>AV53+BF53+BP53+BZ53+CJ53</f>
        <v>103.04709321852</v>
      </c>
      <c r="Y53" s="19">
        <f>AB53</f>
        <v>3.1105392000000003</v>
      </c>
      <c r="Z53" s="19">
        <v>0</v>
      </c>
      <c r="AA53" s="19">
        <v>0</v>
      </c>
      <c r="AB53" s="19">
        <f>3110.5392/1000</f>
        <v>3.1105392000000003</v>
      </c>
      <c r="AC53" s="19">
        <v>0</v>
      </c>
      <c r="AD53" s="19">
        <v>0</v>
      </c>
      <c r="AE53" s="19">
        <v>0</v>
      </c>
      <c r="AF53" s="19">
        <v>0</v>
      </c>
      <c r="AG53" s="19">
        <v>0</v>
      </c>
      <c r="AH53" s="19">
        <v>0</v>
      </c>
      <c r="AI53" s="19">
        <f>SUM(AJ53:AM53)</f>
        <v>0</v>
      </c>
      <c r="AJ53" s="19">
        <v>0</v>
      </c>
      <c r="AK53" s="19">
        <v>0</v>
      </c>
      <c r="AL53" s="19">
        <v>0</v>
      </c>
      <c r="AM53" s="19">
        <v>0</v>
      </c>
      <c r="AN53" s="19">
        <f>AQ53</f>
        <v>0</v>
      </c>
      <c r="AO53" s="19">
        <v>0</v>
      </c>
      <c r="AP53" s="21">
        <v>0</v>
      </c>
      <c r="AQ53" s="21">
        <v>0</v>
      </c>
      <c r="AR53" s="21">
        <v>0</v>
      </c>
      <c r="AS53" s="21">
        <f>SUM(AT53:AW53)</f>
        <v>0</v>
      </c>
      <c r="AT53" s="21">
        <v>0</v>
      </c>
      <c r="AU53" s="21">
        <v>0</v>
      </c>
      <c r="AV53" s="21">
        <v>0</v>
      </c>
      <c r="AW53" s="21">
        <v>0</v>
      </c>
      <c r="AX53" s="21">
        <f>AY53+AZ53+BA53+BB53</f>
        <v>103.04709321852</v>
      </c>
      <c r="AY53" s="21">
        <f>AY54+AY55+AY56</f>
        <v>0</v>
      </c>
      <c r="AZ53" s="21">
        <f>AZ54+AZ55+AZ56</f>
        <v>0</v>
      </c>
      <c r="BA53" s="21">
        <f>103047.09321852/1000</f>
        <v>103.04709321852</v>
      </c>
      <c r="BB53" s="21">
        <f>BB54+BB55+BB56</f>
        <v>0</v>
      </c>
      <c r="BC53" s="21">
        <f>SUM(BD53:BG53)</f>
        <v>103.04709321852</v>
      </c>
      <c r="BD53" s="21">
        <v>0</v>
      </c>
      <c r="BE53" s="21">
        <v>0</v>
      </c>
      <c r="BF53" s="21">
        <v>103.04709321852</v>
      </c>
      <c r="BG53" s="21">
        <v>0</v>
      </c>
      <c r="BH53" s="21">
        <f>BI53+BJ53+BK53+BL53</f>
        <v>0</v>
      </c>
      <c r="BI53" s="21">
        <f t="shared" ref="BI53:CF53" si="148">BI54+BI55+BI56</f>
        <v>0</v>
      </c>
      <c r="BJ53" s="21">
        <f t="shared" si="148"/>
        <v>0</v>
      </c>
      <c r="BK53" s="21">
        <v>0</v>
      </c>
      <c r="BL53" s="21">
        <f t="shared" si="148"/>
        <v>0</v>
      </c>
      <c r="BM53" s="21">
        <f>SUM(BN53:BQ53)</f>
        <v>0</v>
      </c>
      <c r="BN53" s="21">
        <v>0</v>
      </c>
      <c r="BO53" s="21">
        <v>0</v>
      </c>
      <c r="BP53" s="21">
        <v>0</v>
      </c>
      <c r="BQ53" s="21">
        <v>0</v>
      </c>
      <c r="BR53" s="21">
        <v>0</v>
      </c>
      <c r="BS53" s="21">
        <f t="shared" si="148"/>
        <v>0</v>
      </c>
      <c r="BT53" s="21">
        <f t="shared" si="148"/>
        <v>0</v>
      </c>
      <c r="BU53" s="21">
        <v>0</v>
      </c>
      <c r="BV53" s="21">
        <f t="shared" si="148"/>
        <v>0</v>
      </c>
      <c r="BW53" s="21">
        <f>SUM(BX53:CA53)</f>
        <v>0</v>
      </c>
      <c r="BX53" s="21">
        <v>0</v>
      </c>
      <c r="BY53" s="21">
        <v>0</v>
      </c>
      <c r="BZ53" s="21">
        <v>0</v>
      </c>
      <c r="CA53" s="21">
        <v>0</v>
      </c>
      <c r="CB53" s="21">
        <f t="shared" si="148"/>
        <v>0</v>
      </c>
      <c r="CC53" s="21">
        <f t="shared" si="148"/>
        <v>0</v>
      </c>
      <c r="CD53" s="21">
        <f t="shared" si="148"/>
        <v>0</v>
      </c>
      <c r="CE53" s="21">
        <f t="shared" si="148"/>
        <v>0</v>
      </c>
      <c r="CF53" s="21">
        <f t="shared" si="148"/>
        <v>0</v>
      </c>
      <c r="CG53" s="21">
        <f>SUM(CH53:CK53)</f>
        <v>0</v>
      </c>
      <c r="CH53" s="21">
        <v>0</v>
      </c>
      <c r="CI53" s="21">
        <v>0</v>
      </c>
      <c r="CJ53" s="21">
        <v>0</v>
      </c>
      <c r="CK53" s="21">
        <v>0</v>
      </c>
      <c r="CL53" s="21">
        <v>103.04709321852</v>
      </c>
      <c r="CM53" s="21">
        <v>0</v>
      </c>
      <c r="CN53" s="21">
        <v>0</v>
      </c>
      <c r="CO53" s="21">
        <f t="shared" ref="CO53:CO76" si="149">CE53+BU53+BK53+BA53+AQ53+AG53</f>
        <v>103.04709321852</v>
      </c>
      <c r="CP53" s="21">
        <v>0</v>
      </c>
      <c r="CQ53" s="21">
        <f>SUM(CR53:CU53)</f>
        <v>103.04709321852</v>
      </c>
      <c r="CR53" s="21">
        <v>0</v>
      </c>
      <c r="CS53" s="21">
        <v>0</v>
      </c>
      <c r="CT53" s="21">
        <f t="shared" ref="CT53:CT81" si="150">CJ53+BZ53+BP53+BF53+AV53+AL53</f>
        <v>103.04709321852</v>
      </c>
      <c r="CU53" s="21">
        <v>0</v>
      </c>
      <c r="CV53" s="31" t="s">
        <v>130</v>
      </c>
    </row>
    <row r="54" spans="1:100" s="8" customFormat="1" ht="63" x14ac:dyDescent="0.25">
      <c r="A54" s="24" t="s">
        <v>107</v>
      </c>
      <c r="B54" s="20" t="s">
        <v>135</v>
      </c>
      <c r="C54" s="35" t="s">
        <v>168</v>
      </c>
      <c r="D54" s="16" t="s">
        <v>111</v>
      </c>
      <c r="E54" s="16">
        <v>2016</v>
      </c>
      <c r="F54" s="16">
        <v>2025</v>
      </c>
      <c r="G54" s="16">
        <v>2025</v>
      </c>
      <c r="H54" s="19">
        <v>14.90285838114</v>
      </c>
      <c r="I54" s="19">
        <v>109.94353738295999</v>
      </c>
      <c r="J54" s="22" t="s">
        <v>134</v>
      </c>
      <c r="K54" s="22">
        <f>11.70857*1.2+0.072562*1.2+0.046412*1.2</f>
        <v>14.1930528</v>
      </c>
      <c r="L54" s="22">
        <f>88.251662*1.2</f>
        <v>105.90199439999999</v>
      </c>
      <c r="M54" s="22" t="s">
        <v>310</v>
      </c>
      <c r="N54" s="16" t="s">
        <v>103</v>
      </c>
      <c r="O54" s="19">
        <f>609.25424/1000*1.2</f>
        <v>0.73110508799999996</v>
      </c>
      <c r="P54" s="19">
        <f>288840.53142/1000</f>
        <v>288.84053141999999</v>
      </c>
      <c r="Q54" s="19">
        <f>302704.87692816/1000</f>
        <v>302.70487692816005</v>
      </c>
      <c r="R54" s="19">
        <f>288840.53142/1000</f>
        <v>288.84053141999999</v>
      </c>
      <c r="S54" s="19">
        <f>339704.771321999/1000</f>
        <v>339.70477132199903</v>
      </c>
      <c r="T54" s="19">
        <f>W54+O54</f>
        <v>121.25182947882001</v>
      </c>
      <c r="U54" s="19">
        <f>Y54+CQ54</f>
        <v>114.00145317</v>
      </c>
      <c r="V54" s="26">
        <f t="shared" si="136"/>
        <v>121.25182947882001</v>
      </c>
      <c r="W54" s="26">
        <v>120.52072439082001</v>
      </c>
      <c r="X54" s="19">
        <f t="shared" ref="X54:X81" si="151">AV54+BF54+BP54+BZ54+CJ54</f>
        <v>114.00145317</v>
      </c>
      <c r="Y54" s="19">
        <v>0</v>
      </c>
      <c r="Z54" s="19">
        <v>0</v>
      </c>
      <c r="AA54" s="19">
        <v>0</v>
      </c>
      <c r="AB54" s="19">
        <v>0</v>
      </c>
      <c r="AC54" s="19">
        <v>0</v>
      </c>
      <c r="AD54" s="19">
        <v>0</v>
      </c>
      <c r="AE54" s="19">
        <v>0</v>
      </c>
      <c r="AF54" s="19">
        <v>0</v>
      </c>
      <c r="AG54" s="19">
        <v>0</v>
      </c>
      <c r="AH54" s="19">
        <v>0</v>
      </c>
      <c r="AI54" s="19">
        <f t="shared" ref="AI54:AI81" si="152">SUM(AJ54:AM54)</f>
        <v>0</v>
      </c>
      <c r="AJ54" s="19">
        <v>0</v>
      </c>
      <c r="AK54" s="19">
        <v>0</v>
      </c>
      <c r="AL54" s="19">
        <v>0</v>
      </c>
      <c r="AM54" s="19">
        <v>0</v>
      </c>
      <c r="AN54" s="19">
        <f>AQ54</f>
        <v>120.52072439082001</v>
      </c>
      <c r="AO54" s="19">
        <v>0</v>
      </c>
      <c r="AP54" s="21">
        <v>0</v>
      </c>
      <c r="AQ54" s="21">
        <f>120520.72439082/1000</f>
        <v>120.52072439082001</v>
      </c>
      <c r="AR54" s="21">
        <v>0</v>
      </c>
      <c r="AS54" s="21">
        <f t="shared" ref="AS54:AS81" si="153">SUM(AT54:AW54)</f>
        <v>114.00145317</v>
      </c>
      <c r="AT54" s="21">
        <v>0</v>
      </c>
      <c r="AU54" s="21">
        <v>0</v>
      </c>
      <c r="AV54" s="21">
        <v>114.00145317</v>
      </c>
      <c r="AW54" s="21">
        <v>0</v>
      </c>
      <c r="AX54" s="21">
        <v>0</v>
      </c>
      <c r="AY54" s="21">
        <f>AY55+AY56+AY57</f>
        <v>0</v>
      </c>
      <c r="AZ54" s="21">
        <f>AZ55+AZ56+AZ57</f>
        <v>0</v>
      </c>
      <c r="BA54" s="21">
        <v>0</v>
      </c>
      <c r="BB54" s="21">
        <f>BB55+BB56+BB57</f>
        <v>0</v>
      </c>
      <c r="BC54" s="21">
        <f t="shared" ref="BC54:BC81" si="154">SUM(BD54:BG54)</f>
        <v>0</v>
      </c>
      <c r="BD54" s="21">
        <v>0</v>
      </c>
      <c r="BE54" s="21">
        <v>0</v>
      </c>
      <c r="BF54" s="21">
        <v>0</v>
      </c>
      <c r="BG54" s="21">
        <v>0</v>
      </c>
      <c r="BH54" s="21">
        <f t="shared" ref="BH54:BH66" si="155">BI54+BJ54+BK54+BL54</f>
        <v>0</v>
      </c>
      <c r="BI54" s="21">
        <f>BI55+BI56+BI57</f>
        <v>0</v>
      </c>
      <c r="BJ54" s="21">
        <f>BJ55+BJ56+BJ57</f>
        <v>0</v>
      </c>
      <c r="BK54" s="21">
        <v>0</v>
      </c>
      <c r="BL54" s="21">
        <f>BL55+BL56+BL57</f>
        <v>0</v>
      </c>
      <c r="BM54" s="21">
        <f t="shared" ref="BM54:BM81" si="156">SUM(BN54:BQ54)</f>
        <v>0</v>
      </c>
      <c r="BN54" s="21">
        <v>0</v>
      </c>
      <c r="BO54" s="21">
        <v>0</v>
      </c>
      <c r="BP54" s="21">
        <v>0</v>
      </c>
      <c r="BQ54" s="21">
        <v>0</v>
      </c>
      <c r="BR54" s="21">
        <v>0</v>
      </c>
      <c r="BS54" s="21">
        <f>BS55+BS56+BS57</f>
        <v>0</v>
      </c>
      <c r="BT54" s="21">
        <f>BT55+BT56+BT57</f>
        <v>0</v>
      </c>
      <c r="BU54" s="21">
        <v>0</v>
      </c>
      <c r="BV54" s="21">
        <f t="shared" ref="BV54:CF54" si="157">BV55+BV56+BV57</f>
        <v>0</v>
      </c>
      <c r="BW54" s="21">
        <f t="shared" ref="BW54:BW75" si="158">SUM(BX54:CA54)</f>
        <v>0</v>
      </c>
      <c r="BX54" s="21">
        <v>0</v>
      </c>
      <c r="BY54" s="21">
        <v>0</v>
      </c>
      <c r="BZ54" s="21">
        <v>0</v>
      </c>
      <c r="CA54" s="21">
        <v>0</v>
      </c>
      <c r="CB54" s="21">
        <f t="shared" si="157"/>
        <v>0</v>
      </c>
      <c r="CC54" s="21">
        <f t="shared" si="157"/>
        <v>0</v>
      </c>
      <c r="CD54" s="21">
        <f t="shared" si="157"/>
        <v>0</v>
      </c>
      <c r="CE54" s="21">
        <f t="shared" si="157"/>
        <v>0</v>
      </c>
      <c r="CF54" s="21">
        <f t="shared" si="157"/>
        <v>0</v>
      </c>
      <c r="CG54" s="21">
        <f t="shared" ref="CG54:CG81" si="159">SUM(CH54:CK54)</f>
        <v>0</v>
      </c>
      <c r="CH54" s="21">
        <v>0</v>
      </c>
      <c r="CI54" s="21">
        <v>0</v>
      </c>
      <c r="CJ54" s="21">
        <v>0</v>
      </c>
      <c r="CK54" s="21">
        <v>0</v>
      </c>
      <c r="CL54" s="21">
        <v>120.52072439082001</v>
      </c>
      <c r="CM54" s="19">
        <v>0</v>
      </c>
      <c r="CN54" s="19">
        <v>0</v>
      </c>
      <c r="CO54" s="21">
        <f t="shared" si="149"/>
        <v>120.52072439082001</v>
      </c>
      <c r="CP54" s="21">
        <v>0</v>
      </c>
      <c r="CQ54" s="21">
        <f>SUM(CR54:CU54)</f>
        <v>114.00145317</v>
      </c>
      <c r="CR54" s="21">
        <v>0</v>
      </c>
      <c r="CS54" s="21">
        <v>0</v>
      </c>
      <c r="CT54" s="21">
        <f t="shared" si="150"/>
        <v>114.00145317</v>
      </c>
      <c r="CU54" s="21">
        <v>0</v>
      </c>
      <c r="CV54" s="31" t="s">
        <v>130</v>
      </c>
    </row>
    <row r="55" spans="1:100" s="8" customFormat="1" ht="63" x14ac:dyDescent="0.25">
      <c r="A55" s="24" t="s">
        <v>108</v>
      </c>
      <c r="B55" s="20" t="s">
        <v>291</v>
      </c>
      <c r="C55" s="35" t="s">
        <v>169</v>
      </c>
      <c r="D55" s="16" t="s">
        <v>111</v>
      </c>
      <c r="E55" s="16">
        <v>2026</v>
      </c>
      <c r="F55" s="16">
        <v>2028</v>
      </c>
      <c r="G55" s="16">
        <v>2028</v>
      </c>
      <c r="H55" s="19">
        <f>10.49577464*1.2</f>
        <v>12.594929568</v>
      </c>
      <c r="I55" s="19">
        <f>79.07248816*1.2</f>
        <v>94.886985792000004</v>
      </c>
      <c r="J55" s="22" t="s">
        <v>134</v>
      </c>
      <c r="K55" s="22">
        <f t="shared" ref="K55:K66" si="160">H55</f>
        <v>12.594929568</v>
      </c>
      <c r="L55" s="22">
        <f t="shared" ref="L55:L66" si="161">I55</f>
        <v>94.886985792000004</v>
      </c>
      <c r="M55" s="22" t="str">
        <f t="shared" ref="M55:M66" si="162">J55</f>
        <v>ноябрь 2023 г.</v>
      </c>
      <c r="N55" s="16" t="s">
        <v>103</v>
      </c>
      <c r="O55" s="19">
        <v>0</v>
      </c>
      <c r="P55" s="19">
        <f>464538.30888/1000</f>
        <v>464.53830888000005</v>
      </c>
      <c r="Q55" s="19">
        <f>540322.053096756/1000</f>
        <v>540.32205309675601</v>
      </c>
      <c r="R55" s="19">
        <f>464538.30888/1000</f>
        <v>464.53830888000005</v>
      </c>
      <c r="S55" s="19">
        <f>609519.968553397/1000</f>
        <v>609.51996855339701</v>
      </c>
      <c r="T55" s="19">
        <f>AN55+AX55+BH55+BR55+CB55</f>
        <v>116.17574963051999</v>
      </c>
      <c r="U55" s="19">
        <f>Y55+CQ55</f>
        <v>116.81835059756166</v>
      </c>
      <c r="V55" s="26">
        <f t="shared" si="136"/>
        <v>116.17574963051999</v>
      </c>
      <c r="W55" s="26">
        <f>T55-Y55-AD55</f>
        <v>116.17574963051999</v>
      </c>
      <c r="X55" s="19">
        <f t="shared" si="151"/>
        <v>116.81835059756168</v>
      </c>
      <c r="Y55" s="19">
        <v>0</v>
      </c>
      <c r="Z55" s="19">
        <v>0</v>
      </c>
      <c r="AA55" s="19">
        <v>0</v>
      </c>
      <c r="AB55" s="19">
        <v>0</v>
      </c>
      <c r="AC55" s="19">
        <v>0</v>
      </c>
      <c r="AD55" s="19">
        <v>0</v>
      </c>
      <c r="AE55" s="19">
        <v>0</v>
      </c>
      <c r="AF55" s="19">
        <v>0</v>
      </c>
      <c r="AG55" s="19">
        <v>0</v>
      </c>
      <c r="AH55" s="19">
        <v>0</v>
      </c>
      <c r="AI55" s="19">
        <f t="shared" si="152"/>
        <v>0</v>
      </c>
      <c r="AJ55" s="19">
        <v>0</v>
      </c>
      <c r="AK55" s="19">
        <v>0</v>
      </c>
      <c r="AL55" s="19">
        <v>0</v>
      </c>
      <c r="AM55" s="19">
        <v>0</v>
      </c>
      <c r="AN55" s="19">
        <f>AQ55</f>
        <v>5.2572703799999996</v>
      </c>
      <c r="AO55" s="19">
        <v>0</v>
      </c>
      <c r="AP55" s="21">
        <v>0</v>
      </c>
      <c r="AQ55" s="21">
        <f>5257.27038/1000</f>
        <v>5.2572703799999996</v>
      </c>
      <c r="AR55" s="21">
        <v>0</v>
      </c>
      <c r="AS55" s="21">
        <f t="shared" si="153"/>
        <v>0</v>
      </c>
      <c r="AT55" s="21">
        <v>0</v>
      </c>
      <c r="AU55" s="21">
        <v>0</v>
      </c>
      <c r="AV55" s="21">
        <v>0</v>
      </c>
      <c r="AW55" s="21">
        <v>0</v>
      </c>
      <c r="AX55" s="21">
        <v>0</v>
      </c>
      <c r="AY55" s="21">
        <v>0</v>
      </c>
      <c r="AZ55" s="21">
        <v>0</v>
      </c>
      <c r="BA55" s="21">
        <v>0</v>
      </c>
      <c r="BB55" s="21">
        <v>0</v>
      </c>
      <c r="BC55" s="21">
        <f t="shared" si="154"/>
        <v>5.8998713470416702</v>
      </c>
      <c r="BD55" s="21">
        <v>0</v>
      </c>
      <c r="BE55" s="21">
        <v>0</v>
      </c>
      <c r="BF55" s="21">
        <v>5.8998713470416702</v>
      </c>
      <c r="BG55" s="21">
        <v>0</v>
      </c>
      <c r="BH55" s="21">
        <f t="shared" si="155"/>
        <v>63.086539708800004</v>
      </c>
      <c r="BI55" s="21">
        <v>0</v>
      </c>
      <c r="BJ55" s="21">
        <v>0</v>
      </c>
      <c r="BK55" s="21">
        <f>63086.5397088/1000</f>
        <v>63.086539708800004</v>
      </c>
      <c r="BL55" s="21">
        <v>0</v>
      </c>
      <c r="BM55" s="21">
        <f t="shared" si="156"/>
        <v>63.086539708800004</v>
      </c>
      <c r="BN55" s="21">
        <v>0</v>
      </c>
      <c r="BO55" s="21">
        <v>0</v>
      </c>
      <c r="BP55" s="21">
        <f>BK55</f>
        <v>63.086539708800004</v>
      </c>
      <c r="BQ55" s="21">
        <v>0</v>
      </c>
      <c r="BR55" s="21">
        <f>BU55</f>
        <v>47.831939541719997</v>
      </c>
      <c r="BS55" s="21">
        <v>0</v>
      </c>
      <c r="BT55" s="21">
        <v>0</v>
      </c>
      <c r="BU55" s="21">
        <f>47831.93954172/1000</f>
        <v>47.831939541719997</v>
      </c>
      <c r="BV55" s="21">
        <v>0</v>
      </c>
      <c r="BW55" s="21">
        <f t="shared" si="158"/>
        <v>47.831939541719997</v>
      </c>
      <c r="BX55" s="21">
        <v>0</v>
      </c>
      <c r="BY55" s="21">
        <v>0</v>
      </c>
      <c r="BZ55" s="21">
        <f>BU55</f>
        <v>47.831939541719997</v>
      </c>
      <c r="CA55" s="21">
        <v>0</v>
      </c>
      <c r="CB55" s="21">
        <v>0</v>
      </c>
      <c r="CC55" s="21">
        <v>0</v>
      </c>
      <c r="CD55" s="21">
        <v>0</v>
      </c>
      <c r="CE55" s="21">
        <v>0</v>
      </c>
      <c r="CF55" s="21">
        <v>0</v>
      </c>
      <c r="CG55" s="21">
        <f t="shared" si="159"/>
        <v>0</v>
      </c>
      <c r="CH55" s="21">
        <v>0</v>
      </c>
      <c r="CI55" s="21">
        <v>0</v>
      </c>
      <c r="CJ55" s="21">
        <v>0</v>
      </c>
      <c r="CK55" s="21">
        <v>0</v>
      </c>
      <c r="CL55" s="21">
        <v>116.17574963051999</v>
      </c>
      <c r="CM55" s="19">
        <v>0</v>
      </c>
      <c r="CN55" s="19">
        <v>0</v>
      </c>
      <c r="CO55" s="21">
        <f t="shared" si="149"/>
        <v>116.17574963051999</v>
      </c>
      <c r="CP55" s="21">
        <v>0</v>
      </c>
      <c r="CQ55" s="21">
        <f t="shared" ref="CQ55:CQ81" si="163">SUM(CR55:CU55)</f>
        <v>116.81835059756166</v>
      </c>
      <c r="CR55" s="21">
        <v>0</v>
      </c>
      <c r="CS55" s="21">
        <v>0</v>
      </c>
      <c r="CT55" s="21">
        <f t="shared" si="150"/>
        <v>116.81835059756166</v>
      </c>
      <c r="CU55" s="21">
        <v>0</v>
      </c>
      <c r="CV55" s="31" t="s">
        <v>130</v>
      </c>
    </row>
    <row r="56" spans="1:100" s="8" customFormat="1" ht="63" x14ac:dyDescent="0.25">
      <c r="A56" s="24" t="s">
        <v>116</v>
      </c>
      <c r="B56" s="20" t="s">
        <v>136</v>
      </c>
      <c r="C56" s="35" t="s">
        <v>170</v>
      </c>
      <c r="D56" s="16" t="s">
        <v>111</v>
      </c>
      <c r="E56" s="16">
        <v>2026</v>
      </c>
      <c r="F56" s="16">
        <v>2027</v>
      </c>
      <c r="G56" s="16">
        <v>2027</v>
      </c>
      <c r="H56" s="19">
        <f>2.46945358*1.2</f>
        <v>2.9633442960000003</v>
      </c>
      <c r="I56" s="19">
        <f>18.66351975*1.2</f>
        <v>22.396223699999997</v>
      </c>
      <c r="J56" s="22" t="s">
        <v>134</v>
      </c>
      <c r="K56" s="22">
        <f t="shared" si="160"/>
        <v>2.9633442960000003</v>
      </c>
      <c r="L56" s="22">
        <f t="shared" si="161"/>
        <v>22.396223699999997</v>
      </c>
      <c r="M56" s="22" t="str">
        <f t="shared" si="162"/>
        <v>ноябрь 2023 г.</v>
      </c>
      <c r="N56" s="16" t="s">
        <v>103</v>
      </c>
      <c r="O56" s="19">
        <v>0</v>
      </c>
      <c r="P56" s="19">
        <f>180940.29648/1000</f>
        <v>180.94029648</v>
      </c>
      <c r="Q56" s="19">
        <f>206851.277101786/1000</f>
        <v>206.851277101786</v>
      </c>
      <c r="R56" s="19">
        <f>180940.29648/1000</f>
        <v>180.94029648</v>
      </c>
      <c r="S56" s="19">
        <f>233270.718084816/1000</f>
        <v>233.270718084816</v>
      </c>
      <c r="T56" s="19">
        <f>AX56+BH56</f>
        <v>26.931918461160002</v>
      </c>
      <c r="U56" s="19">
        <f t="shared" ref="U56:U66" si="164">O56+CT56</f>
        <v>26.931918461160002</v>
      </c>
      <c r="V56" s="26">
        <f t="shared" si="136"/>
        <v>26.931918461160002</v>
      </c>
      <c r="W56" s="26">
        <f t="shared" ref="W56:W66" si="165">T56-Y56-AD56</f>
        <v>26.931918461160002</v>
      </c>
      <c r="X56" s="19">
        <f t="shared" si="151"/>
        <v>26.931918461160002</v>
      </c>
      <c r="Y56" s="19">
        <v>0</v>
      </c>
      <c r="Z56" s="19">
        <v>0</v>
      </c>
      <c r="AA56" s="19">
        <v>0</v>
      </c>
      <c r="AB56" s="19">
        <v>0</v>
      </c>
      <c r="AC56" s="19">
        <v>0</v>
      </c>
      <c r="AD56" s="19">
        <v>0</v>
      </c>
      <c r="AE56" s="19">
        <v>0</v>
      </c>
      <c r="AF56" s="19">
        <v>0</v>
      </c>
      <c r="AG56" s="19">
        <v>0</v>
      </c>
      <c r="AH56" s="19">
        <v>0</v>
      </c>
      <c r="AI56" s="19">
        <f t="shared" si="152"/>
        <v>0</v>
      </c>
      <c r="AJ56" s="19">
        <v>0</v>
      </c>
      <c r="AK56" s="19">
        <v>0</v>
      </c>
      <c r="AL56" s="19">
        <v>0</v>
      </c>
      <c r="AM56" s="19">
        <v>0</v>
      </c>
      <c r="AN56" s="19">
        <f>AQ56</f>
        <v>0</v>
      </c>
      <c r="AO56" s="19">
        <v>0</v>
      </c>
      <c r="AP56" s="21">
        <v>0</v>
      </c>
      <c r="AQ56" s="21">
        <v>0</v>
      </c>
      <c r="AR56" s="21">
        <v>0</v>
      </c>
      <c r="AS56" s="21">
        <f t="shared" si="153"/>
        <v>0</v>
      </c>
      <c r="AT56" s="21">
        <v>0</v>
      </c>
      <c r="AU56" s="21">
        <v>0</v>
      </c>
      <c r="AV56" s="21">
        <v>0</v>
      </c>
      <c r="AW56" s="21">
        <v>0</v>
      </c>
      <c r="AX56" s="21">
        <f>BA56</f>
        <v>2.3782026000000003</v>
      </c>
      <c r="AY56" s="21">
        <v>0</v>
      </c>
      <c r="AZ56" s="21">
        <v>0</v>
      </c>
      <c r="BA56" s="21">
        <f>2378.2026/1000</f>
        <v>2.3782026000000003</v>
      </c>
      <c r="BB56" s="21">
        <v>0</v>
      </c>
      <c r="BC56" s="21">
        <f t="shared" si="154"/>
        <v>2.3782025999999998</v>
      </c>
      <c r="BD56" s="21">
        <v>0</v>
      </c>
      <c r="BE56" s="21">
        <v>0</v>
      </c>
      <c r="BF56" s="21">
        <v>2.3782025999999998</v>
      </c>
      <c r="BG56" s="21">
        <v>0</v>
      </c>
      <c r="BH56" s="21">
        <f t="shared" si="155"/>
        <v>24.553715861160001</v>
      </c>
      <c r="BI56" s="21">
        <v>0</v>
      </c>
      <c r="BJ56" s="21">
        <v>0</v>
      </c>
      <c r="BK56" s="21">
        <f>24553.71586116/1000</f>
        <v>24.553715861160001</v>
      </c>
      <c r="BL56" s="21">
        <v>0</v>
      </c>
      <c r="BM56" s="21">
        <f t="shared" si="156"/>
        <v>24.553715861160001</v>
      </c>
      <c r="BN56" s="21">
        <v>0</v>
      </c>
      <c r="BO56" s="21">
        <v>0</v>
      </c>
      <c r="BP56" s="21">
        <f>BK56</f>
        <v>24.553715861160001</v>
      </c>
      <c r="BQ56" s="21">
        <v>0</v>
      </c>
      <c r="BR56" s="21">
        <v>0</v>
      </c>
      <c r="BS56" s="21">
        <v>0</v>
      </c>
      <c r="BT56" s="21">
        <v>0</v>
      </c>
      <c r="BU56" s="21">
        <v>0</v>
      </c>
      <c r="BV56" s="21">
        <v>0</v>
      </c>
      <c r="BW56" s="21">
        <f t="shared" si="158"/>
        <v>0</v>
      </c>
      <c r="BX56" s="21">
        <v>0</v>
      </c>
      <c r="BY56" s="21">
        <v>0</v>
      </c>
      <c r="BZ56" s="21">
        <v>0</v>
      </c>
      <c r="CA56" s="21">
        <v>0</v>
      </c>
      <c r="CB56" s="21">
        <v>0</v>
      </c>
      <c r="CC56" s="21">
        <v>0</v>
      </c>
      <c r="CD56" s="21">
        <v>0</v>
      </c>
      <c r="CE56" s="21">
        <v>0</v>
      </c>
      <c r="CF56" s="21">
        <v>0</v>
      </c>
      <c r="CG56" s="21">
        <f t="shared" si="159"/>
        <v>0</v>
      </c>
      <c r="CH56" s="21">
        <v>0</v>
      </c>
      <c r="CI56" s="21">
        <v>0</v>
      </c>
      <c r="CJ56" s="21">
        <v>0</v>
      </c>
      <c r="CK56" s="21">
        <v>0</v>
      </c>
      <c r="CL56" s="21">
        <v>26.931918461160002</v>
      </c>
      <c r="CM56" s="19">
        <v>0</v>
      </c>
      <c r="CN56" s="19">
        <v>0</v>
      </c>
      <c r="CO56" s="21">
        <f t="shared" si="149"/>
        <v>26.931918461160002</v>
      </c>
      <c r="CP56" s="21">
        <v>0</v>
      </c>
      <c r="CQ56" s="21">
        <f t="shared" si="163"/>
        <v>26.931918461160002</v>
      </c>
      <c r="CR56" s="21">
        <v>0</v>
      </c>
      <c r="CS56" s="21">
        <v>0</v>
      </c>
      <c r="CT56" s="21">
        <f t="shared" si="150"/>
        <v>26.931918461160002</v>
      </c>
      <c r="CU56" s="21">
        <v>0</v>
      </c>
      <c r="CV56" s="31" t="s">
        <v>130</v>
      </c>
    </row>
    <row r="57" spans="1:100" s="8" customFormat="1" ht="63" x14ac:dyDescent="0.25">
      <c r="A57" s="24" t="s">
        <v>117</v>
      </c>
      <c r="B57" s="20" t="s">
        <v>137</v>
      </c>
      <c r="C57" s="35" t="s">
        <v>171</v>
      </c>
      <c r="D57" s="16" t="s">
        <v>111</v>
      </c>
      <c r="E57" s="16">
        <v>2026</v>
      </c>
      <c r="F57" s="16">
        <v>2027</v>
      </c>
      <c r="G57" s="16">
        <v>2027</v>
      </c>
      <c r="H57" s="19">
        <f>2.25644282*1.2</f>
        <v>2.7077313840000001</v>
      </c>
      <c r="I57" s="19">
        <f>17.40978885*1.2</f>
        <v>20.891746620000003</v>
      </c>
      <c r="J57" s="22" t="s">
        <v>134</v>
      </c>
      <c r="K57" s="22">
        <f t="shared" si="160"/>
        <v>2.7077313840000001</v>
      </c>
      <c r="L57" s="22">
        <f t="shared" si="161"/>
        <v>20.891746620000003</v>
      </c>
      <c r="M57" s="22" t="str">
        <f t="shared" si="162"/>
        <v>ноябрь 2023 г.</v>
      </c>
      <c r="N57" s="16" t="s">
        <v>103</v>
      </c>
      <c r="O57" s="19">
        <v>0</v>
      </c>
      <c r="P57" s="19">
        <f>52658.43108/1000</f>
        <v>52.65843108</v>
      </c>
      <c r="Q57" s="19">
        <f>59981.6990780784/1000</f>
        <v>59.981699078078407</v>
      </c>
      <c r="R57" s="19">
        <f>52658.43108/1000</f>
        <v>52.65843108</v>
      </c>
      <c r="S57" s="19">
        <f>67652.9214588956/1000</f>
        <v>67.652921458895591</v>
      </c>
      <c r="T57" s="19">
        <f>AX57+BH57</f>
        <v>25.024091505719998</v>
      </c>
      <c r="U57" s="19">
        <f t="shared" si="164"/>
        <v>25.024091505719998</v>
      </c>
      <c r="V57" s="26">
        <f t="shared" si="136"/>
        <v>25.024091505719998</v>
      </c>
      <c r="W57" s="26">
        <f t="shared" si="165"/>
        <v>25.024091505719998</v>
      </c>
      <c r="X57" s="19">
        <f t="shared" si="151"/>
        <v>25.024091505719998</v>
      </c>
      <c r="Y57" s="19">
        <v>0</v>
      </c>
      <c r="Z57" s="19">
        <v>0</v>
      </c>
      <c r="AA57" s="19">
        <v>0</v>
      </c>
      <c r="AB57" s="19">
        <v>0</v>
      </c>
      <c r="AC57" s="19">
        <v>0</v>
      </c>
      <c r="AD57" s="19">
        <v>0</v>
      </c>
      <c r="AE57" s="19">
        <v>0</v>
      </c>
      <c r="AF57" s="19">
        <v>0</v>
      </c>
      <c r="AG57" s="19">
        <v>0</v>
      </c>
      <c r="AH57" s="19">
        <v>0</v>
      </c>
      <c r="AI57" s="19">
        <f t="shared" si="152"/>
        <v>0</v>
      </c>
      <c r="AJ57" s="19">
        <v>0</v>
      </c>
      <c r="AK57" s="19">
        <v>0</v>
      </c>
      <c r="AL57" s="19">
        <v>0</v>
      </c>
      <c r="AM57" s="19">
        <v>0</v>
      </c>
      <c r="AN57" s="19">
        <v>0</v>
      </c>
      <c r="AO57" s="19">
        <v>0</v>
      </c>
      <c r="AP57" s="21">
        <v>0</v>
      </c>
      <c r="AQ57" s="21">
        <v>0</v>
      </c>
      <c r="AR57" s="21">
        <v>0</v>
      </c>
      <c r="AS57" s="21">
        <f t="shared" si="153"/>
        <v>0</v>
      </c>
      <c r="AT57" s="21">
        <v>0</v>
      </c>
      <c r="AU57" s="21">
        <v>0</v>
      </c>
      <c r="AV57" s="21">
        <v>0</v>
      </c>
      <c r="AW57" s="21">
        <v>0</v>
      </c>
      <c r="AX57" s="21">
        <f>BA57</f>
        <v>4.3632805559999994</v>
      </c>
      <c r="AY57" s="21">
        <v>0</v>
      </c>
      <c r="AZ57" s="21">
        <v>0</v>
      </c>
      <c r="BA57" s="21">
        <f>4363.280556/1000</f>
        <v>4.3632805559999994</v>
      </c>
      <c r="BB57" s="21">
        <v>0</v>
      </c>
      <c r="BC57" s="21">
        <f t="shared" si="154"/>
        <v>4.3632805560000003</v>
      </c>
      <c r="BD57" s="21">
        <v>0</v>
      </c>
      <c r="BE57" s="21">
        <v>0</v>
      </c>
      <c r="BF57" s="21">
        <v>4.3632805560000003</v>
      </c>
      <c r="BG57" s="21">
        <v>0</v>
      </c>
      <c r="BH57" s="21">
        <f t="shared" si="155"/>
        <v>20.660810949719998</v>
      </c>
      <c r="BI57" s="21">
        <v>0</v>
      </c>
      <c r="BJ57" s="21">
        <v>0</v>
      </c>
      <c r="BK57" s="21">
        <f>20660.81094972/1000</f>
        <v>20.660810949719998</v>
      </c>
      <c r="BL57" s="21">
        <v>0</v>
      </c>
      <c r="BM57" s="21">
        <f t="shared" si="156"/>
        <v>20.660810949719998</v>
      </c>
      <c r="BN57" s="21">
        <v>0</v>
      </c>
      <c r="BO57" s="21">
        <v>0</v>
      </c>
      <c r="BP57" s="21">
        <f>BK57</f>
        <v>20.660810949719998</v>
      </c>
      <c r="BQ57" s="21">
        <v>0</v>
      </c>
      <c r="BR57" s="21">
        <v>0</v>
      </c>
      <c r="BS57" s="21">
        <v>0</v>
      </c>
      <c r="BT57" s="21">
        <v>0</v>
      </c>
      <c r="BU57" s="21">
        <v>0</v>
      </c>
      <c r="BV57" s="21">
        <v>0</v>
      </c>
      <c r="BW57" s="21">
        <f t="shared" si="158"/>
        <v>0</v>
      </c>
      <c r="BX57" s="21">
        <v>0</v>
      </c>
      <c r="BY57" s="21">
        <v>0</v>
      </c>
      <c r="BZ57" s="21">
        <v>0</v>
      </c>
      <c r="CA57" s="21">
        <v>0</v>
      </c>
      <c r="CB57" s="21">
        <v>0</v>
      </c>
      <c r="CC57" s="21">
        <v>0</v>
      </c>
      <c r="CD57" s="21">
        <v>0</v>
      </c>
      <c r="CE57" s="21">
        <v>0</v>
      </c>
      <c r="CF57" s="21">
        <v>0</v>
      </c>
      <c r="CG57" s="21">
        <f t="shared" si="159"/>
        <v>0</v>
      </c>
      <c r="CH57" s="21">
        <v>0</v>
      </c>
      <c r="CI57" s="21">
        <v>0</v>
      </c>
      <c r="CJ57" s="21">
        <v>0</v>
      </c>
      <c r="CK57" s="21">
        <v>0</v>
      </c>
      <c r="CL57" s="21">
        <v>25.024091505719998</v>
      </c>
      <c r="CM57" s="19">
        <v>0</v>
      </c>
      <c r="CN57" s="19">
        <v>0</v>
      </c>
      <c r="CO57" s="21">
        <f t="shared" si="149"/>
        <v>25.024091505719998</v>
      </c>
      <c r="CP57" s="21">
        <v>0</v>
      </c>
      <c r="CQ57" s="21">
        <f t="shared" si="163"/>
        <v>25.024091505719998</v>
      </c>
      <c r="CR57" s="21">
        <v>0</v>
      </c>
      <c r="CS57" s="21">
        <v>0</v>
      </c>
      <c r="CT57" s="21">
        <f t="shared" si="150"/>
        <v>25.024091505719998</v>
      </c>
      <c r="CU57" s="21">
        <v>0</v>
      </c>
      <c r="CV57" s="31" t="s">
        <v>130</v>
      </c>
    </row>
    <row r="58" spans="1:100" s="8" customFormat="1" ht="63" x14ac:dyDescent="0.25">
      <c r="A58" s="24" t="s">
        <v>118</v>
      </c>
      <c r="B58" s="20" t="s">
        <v>138</v>
      </c>
      <c r="C58" s="35" t="s">
        <v>172</v>
      </c>
      <c r="D58" s="16" t="s">
        <v>111</v>
      </c>
      <c r="E58" s="16">
        <v>2026</v>
      </c>
      <c r="F58" s="16">
        <v>2027</v>
      </c>
      <c r="G58" s="16">
        <v>2027</v>
      </c>
      <c r="H58" s="19">
        <f>1.78910485*1.2</f>
        <v>2.1469258199999999</v>
      </c>
      <c r="I58" s="19">
        <f>14.1506394*1.2</f>
        <v>16.980767279999998</v>
      </c>
      <c r="J58" s="22" t="s">
        <v>134</v>
      </c>
      <c r="K58" s="22">
        <f t="shared" si="160"/>
        <v>2.1469258199999999</v>
      </c>
      <c r="L58" s="22">
        <f t="shared" si="161"/>
        <v>16.980767279999998</v>
      </c>
      <c r="M58" s="22" t="str">
        <f t="shared" si="162"/>
        <v>ноябрь 2023 г.</v>
      </c>
      <c r="N58" s="16" t="s">
        <v>103</v>
      </c>
      <c r="O58" s="19">
        <v>0</v>
      </c>
      <c r="P58" s="19">
        <f>51183.4776/1000</f>
        <v>51.183477599999996</v>
      </c>
      <c r="Q58" s="19">
        <f>49625.5585236004/1000</f>
        <v>49.625558523600397</v>
      </c>
      <c r="R58" s="19">
        <f>51183.4776/1000</f>
        <v>51.183477599999996</v>
      </c>
      <c r="S58" s="19">
        <f>65898.0211897783/1000</f>
        <v>65.898021189778305</v>
      </c>
      <c r="T58" s="19">
        <f>AX58+BH58</f>
        <v>20.41088295282</v>
      </c>
      <c r="U58" s="19">
        <f t="shared" si="164"/>
        <v>20.41088295282</v>
      </c>
      <c r="V58" s="26">
        <f t="shared" si="136"/>
        <v>20.41088295282</v>
      </c>
      <c r="W58" s="26">
        <f t="shared" si="165"/>
        <v>20.41088295282</v>
      </c>
      <c r="X58" s="19">
        <f t="shared" si="151"/>
        <v>20.41088295282</v>
      </c>
      <c r="Y58" s="19">
        <v>0</v>
      </c>
      <c r="Z58" s="19">
        <v>0</v>
      </c>
      <c r="AA58" s="19">
        <v>0</v>
      </c>
      <c r="AB58" s="19">
        <v>0</v>
      </c>
      <c r="AC58" s="19">
        <v>0</v>
      </c>
      <c r="AD58" s="19">
        <v>0</v>
      </c>
      <c r="AE58" s="19">
        <v>0</v>
      </c>
      <c r="AF58" s="19">
        <v>0</v>
      </c>
      <c r="AG58" s="19">
        <v>0</v>
      </c>
      <c r="AH58" s="19">
        <v>0</v>
      </c>
      <c r="AI58" s="19">
        <f t="shared" si="152"/>
        <v>0</v>
      </c>
      <c r="AJ58" s="19">
        <v>0</v>
      </c>
      <c r="AK58" s="19">
        <v>0</v>
      </c>
      <c r="AL58" s="19">
        <v>0</v>
      </c>
      <c r="AM58" s="19">
        <v>0</v>
      </c>
      <c r="AN58" s="19">
        <v>0</v>
      </c>
      <c r="AO58" s="19">
        <v>0</v>
      </c>
      <c r="AP58" s="21">
        <v>0</v>
      </c>
      <c r="AQ58" s="21">
        <v>0</v>
      </c>
      <c r="AR58" s="21">
        <v>0</v>
      </c>
      <c r="AS58" s="21">
        <f t="shared" si="153"/>
        <v>0</v>
      </c>
      <c r="AT58" s="21">
        <v>0</v>
      </c>
      <c r="AU58" s="21">
        <v>0</v>
      </c>
      <c r="AV58" s="21">
        <v>0</v>
      </c>
      <c r="AW58" s="21">
        <v>0</v>
      </c>
      <c r="AX58" s="21">
        <f>BA58</f>
        <v>1.9952797200000001</v>
      </c>
      <c r="AY58" s="21">
        <v>0</v>
      </c>
      <c r="AZ58" s="21">
        <v>0</v>
      </c>
      <c r="BA58" s="21">
        <f>1995.27972/1000</f>
        <v>1.9952797200000001</v>
      </c>
      <c r="BB58" s="21">
        <v>0</v>
      </c>
      <c r="BC58" s="21">
        <f t="shared" si="154"/>
        <v>1.9952797200000001</v>
      </c>
      <c r="BD58" s="21">
        <v>0</v>
      </c>
      <c r="BE58" s="21">
        <v>0</v>
      </c>
      <c r="BF58" s="21">
        <v>1.9952797200000001</v>
      </c>
      <c r="BG58" s="21">
        <v>0</v>
      </c>
      <c r="BH58" s="21">
        <f t="shared" si="155"/>
        <v>18.415603232820001</v>
      </c>
      <c r="BI58" s="21">
        <v>0</v>
      </c>
      <c r="BJ58" s="21">
        <v>0</v>
      </c>
      <c r="BK58" s="21">
        <f>18415.60323282/1000</f>
        <v>18.415603232820001</v>
      </c>
      <c r="BL58" s="21">
        <v>0</v>
      </c>
      <c r="BM58" s="21">
        <f t="shared" si="156"/>
        <v>18.415603232820001</v>
      </c>
      <c r="BN58" s="21">
        <v>0</v>
      </c>
      <c r="BO58" s="21">
        <v>0</v>
      </c>
      <c r="BP58" s="21">
        <f>BK58</f>
        <v>18.415603232820001</v>
      </c>
      <c r="BQ58" s="21">
        <v>0</v>
      </c>
      <c r="BR58" s="21">
        <v>0</v>
      </c>
      <c r="BS58" s="21">
        <v>0</v>
      </c>
      <c r="BT58" s="21">
        <v>0</v>
      </c>
      <c r="BU58" s="21">
        <v>0</v>
      </c>
      <c r="BV58" s="21">
        <v>0</v>
      </c>
      <c r="BW58" s="21">
        <f>SUM(BX58:CA58)</f>
        <v>0</v>
      </c>
      <c r="BX58" s="21">
        <v>0</v>
      </c>
      <c r="BY58" s="21">
        <v>0</v>
      </c>
      <c r="BZ58" s="21">
        <v>0</v>
      </c>
      <c r="CA58" s="21">
        <v>0</v>
      </c>
      <c r="CB58" s="21">
        <v>0</v>
      </c>
      <c r="CC58" s="21">
        <v>0</v>
      </c>
      <c r="CD58" s="21">
        <v>0</v>
      </c>
      <c r="CE58" s="21">
        <v>0</v>
      </c>
      <c r="CF58" s="21">
        <v>0</v>
      </c>
      <c r="CG58" s="21">
        <f t="shared" si="159"/>
        <v>0</v>
      </c>
      <c r="CH58" s="21">
        <v>0</v>
      </c>
      <c r="CI58" s="21">
        <v>0</v>
      </c>
      <c r="CJ58" s="21">
        <v>0</v>
      </c>
      <c r="CK58" s="21">
        <v>0</v>
      </c>
      <c r="CL58" s="21">
        <v>20.41088295282</v>
      </c>
      <c r="CM58" s="19">
        <v>0</v>
      </c>
      <c r="CN58" s="19">
        <v>0</v>
      </c>
      <c r="CO58" s="21">
        <f t="shared" si="149"/>
        <v>20.41088295282</v>
      </c>
      <c r="CP58" s="21">
        <v>0</v>
      </c>
      <c r="CQ58" s="21">
        <f t="shared" si="163"/>
        <v>20.41088295282</v>
      </c>
      <c r="CR58" s="21">
        <v>0</v>
      </c>
      <c r="CS58" s="21">
        <v>0</v>
      </c>
      <c r="CT58" s="21">
        <f t="shared" si="150"/>
        <v>20.41088295282</v>
      </c>
      <c r="CU58" s="21">
        <v>0</v>
      </c>
      <c r="CV58" s="31" t="s">
        <v>130</v>
      </c>
    </row>
    <row r="59" spans="1:100" s="8" customFormat="1" ht="63" x14ac:dyDescent="0.25">
      <c r="A59" s="24" t="s">
        <v>120</v>
      </c>
      <c r="B59" s="20" t="s">
        <v>166</v>
      </c>
      <c r="C59" s="35" t="s">
        <v>173</v>
      </c>
      <c r="D59" s="16" t="s">
        <v>111</v>
      </c>
      <c r="E59" s="16">
        <v>2028</v>
      </c>
      <c r="F59" s="16">
        <v>2028</v>
      </c>
      <c r="G59" s="16">
        <v>2028</v>
      </c>
      <c r="H59" s="19">
        <f>2.82097594*1.2</f>
        <v>3.3851711279999996</v>
      </c>
      <c r="I59" s="19">
        <f>18.30458735*1.2</f>
        <v>21.965504819999996</v>
      </c>
      <c r="J59" s="22" t="s">
        <v>134</v>
      </c>
      <c r="K59" s="22">
        <f t="shared" si="160"/>
        <v>3.3851711279999996</v>
      </c>
      <c r="L59" s="22">
        <f t="shared" si="161"/>
        <v>21.965504819999996</v>
      </c>
      <c r="M59" s="22" t="str">
        <f t="shared" si="162"/>
        <v>ноябрь 2023 г.</v>
      </c>
      <c r="N59" s="16" t="s">
        <v>103</v>
      </c>
      <c r="O59" s="19">
        <v>0</v>
      </c>
      <c r="P59" s="19">
        <f>40251.0529836/1000</f>
        <v>40.251052983599998</v>
      </c>
      <c r="Q59" s="19">
        <f>48276.2560892661/1000</f>
        <v>48.276256089266099</v>
      </c>
      <c r="R59" s="19">
        <f>40251.0529836/1000</f>
        <v>40.251052983599998</v>
      </c>
      <c r="S59" s="19">
        <f>54331.3036885835/1000</f>
        <v>54.331303688583503</v>
      </c>
      <c r="T59" s="19">
        <f>BR59</f>
        <v>27.741241693679999</v>
      </c>
      <c r="U59" s="19">
        <f t="shared" si="164"/>
        <v>27.741241693679999</v>
      </c>
      <c r="V59" s="26">
        <f t="shared" si="136"/>
        <v>27.741241693679999</v>
      </c>
      <c r="W59" s="26">
        <f t="shared" si="165"/>
        <v>27.741241693679999</v>
      </c>
      <c r="X59" s="19">
        <f t="shared" si="151"/>
        <v>27.741241693679999</v>
      </c>
      <c r="Y59" s="19">
        <v>0</v>
      </c>
      <c r="Z59" s="19">
        <v>0</v>
      </c>
      <c r="AA59" s="19">
        <v>0</v>
      </c>
      <c r="AB59" s="19">
        <v>0</v>
      </c>
      <c r="AC59" s="19">
        <v>0</v>
      </c>
      <c r="AD59" s="19">
        <v>0</v>
      </c>
      <c r="AE59" s="19">
        <v>0</v>
      </c>
      <c r="AF59" s="19">
        <v>0</v>
      </c>
      <c r="AG59" s="19">
        <v>0</v>
      </c>
      <c r="AH59" s="19">
        <v>0</v>
      </c>
      <c r="AI59" s="19">
        <f t="shared" si="152"/>
        <v>0</v>
      </c>
      <c r="AJ59" s="19">
        <v>0</v>
      </c>
      <c r="AK59" s="19">
        <v>0</v>
      </c>
      <c r="AL59" s="19">
        <v>0</v>
      </c>
      <c r="AM59" s="19">
        <v>0</v>
      </c>
      <c r="AN59" s="19">
        <v>0</v>
      </c>
      <c r="AO59" s="19">
        <v>0</v>
      </c>
      <c r="AP59" s="21">
        <v>0</v>
      </c>
      <c r="AQ59" s="21">
        <v>0</v>
      </c>
      <c r="AR59" s="21">
        <v>0</v>
      </c>
      <c r="AS59" s="21">
        <f t="shared" si="153"/>
        <v>0</v>
      </c>
      <c r="AT59" s="21">
        <v>0</v>
      </c>
      <c r="AU59" s="21">
        <v>0</v>
      </c>
      <c r="AV59" s="21">
        <v>0</v>
      </c>
      <c r="AW59" s="21">
        <v>0</v>
      </c>
      <c r="AX59" s="21">
        <v>0</v>
      </c>
      <c r="AY59" s="21">
        <v>0</v>
      </c>
      <c r="AZ59" s="21">
        <v>0</v>
      </c>
      <c r="BA59" s="21">
        <v>0</v>
      </c>
      <c r="BB59" s="21">
        <v>0</v>
      </c>
      <c r="BC59" s="21">
        <f t="shared" si="154"/>
        <v>0</v>
      </c>
      <c r="BD59" s="21">
        <v>0</v>
      </c>
      <c r="BE59" s="21">
        <v>0</v>
      </c>
      <c r="BF59" s="21">
        <v>0</v>
      </c>
      <c r="BG59" s="21">
        <v>0</v>
      </c>
      <c r="BH59" s="21">
        <f t="shared" si="155"/>
        <v>0</v>
      </c>
      <c r="BI59" s="21">
        <v>0</v>
      </c>
      <c r="BJ59" s="21">
        <v>0</v>
      </c>
      <c r="BK59" s="21">
        <v>0</v>
      </c>
      <c r="BL59" s="21">
        <v>0</v>
      </c>
      <c r="BM59" s="21">
        <f t="shared" si="156"/>
        <v>0</v>
      </c>
      <c r="BN59" s="21">
        <v>0</v>
      </c>
      <c r="BO59" s="21">
        <v>0</v>
      </c>
      <c r="BP59" s="21">
        <v>0</v>
      </c>
      <c r="BQ59" s="21">
        <v>0</v>
      </c>
      <c r="BR59" s="21">
        <f t="shared" ref="BR59:BR64" si="166">BU59</f>
        <v>27.741241693679999</v>
      </c>
      <c r="BS59" s="21">
        <v>0</v>
      </c>
      <c r="BT59" s="21">
        <v>0</v>
      </c>
      <c r="BU59" s="21">
        <f>27741.24169368/1000</f>
        <v>27.741241693679999</v>
      </c>
      <c r="BV59" s="21">
        <v>0</v>
      </c>
      <c r="BW59" s="21">
        <f t="shared" si="158"/>
        <v>27.741241693679999</v>
      </c>
      <c r="BX59" s="21">
        <v>0</v>
      </c>
      <c r="BY59" s="21">
        <v>0</v>
      </c>
      <c r="BZ59" s="21">
        <f>BU59</f>
        <v>27.741241693679999</v>
      </c>
      <c r="CA59" s="21">
        <v>0</v>
      </c>
      <c r="CB59" s="21">
        <v>0</v>
      </c>
      <c r="CC59" s="21">
        <v>0</v>
      </c>
      <c r="CD59" s="21">
        <v>0</v>
      </c>
      <c r="CE59" s="21">
        <v>0</v>
      </c>
      <c r="CF59" s="21">
        <v>0</v>
      </c>
      <c r="CG59" s="21">
        <f t="shared" si="159"/>
        <v>0</v>
      </c>
      <c r="CH59" s="21">
        <v>0</v>
      </c>
      <c r="CI59" s="21">
        <v>0</v>
      </c>
      <c r="CJ59" s="21">
        <v>0</v>
      </c>
      <c r="CK59" s="21">
        <v>0</v>
      </c>
      <c r="CL59" s="21">
        <v>27.741241693679999</v>
      </c>
      <c r="CM59" s="19">
        <f t="shared" ref="CM59:CN62" si="167">CM83</f>
        <v>0</v>
      </c>
      <c r="CN59" s="19">
        <f t="shared" si="167"/>
        <v>0</v>
      </c>
      <c r="CO59" s="21">
        <f t="shared" si="149"/>
        <v>27.741241693679999</v>
      </c>
      <c r="CP59" s="21">
        <v>0</v>
      </c>
      <c r="CQ59" s="21">
        <f t="shared" si="163"/>
        <v>27.741241693679999</v>
      </c>
      <c r="CR59" s="21">
        <v>0</v>
      </c>
      <c r="CS59" s="21">
        <v>0</v>
      </c>
      <c r="CT59" s="21">
        <f t="shared" si="150"/>
        <v>27.741241693679999</v>
      </c>
      <c r="CU59" s="21">
        <v>0</v>
      </c>
      <c r="CV59" s="31" t="s">
        <v>130</v>
      </c>
    </row>
    <row r="60" spans="1:100" s="8" customFormat="1" ht="78.75" x14ac:dyDescent="0.25">
      <c r="A60" s="24" t="s">
        <v>121</v>
      </c>
      <c r="B60" s="20" t="s">
        <v>167</v>
      </c>
      <c r="C60" s="35" t="s">
        <v>174</v>
      </c>
      <c r="D60" s="16" t="s">
        <v>111</v>
      </c>
      <c r="E60" s="16">
        <v>2028</v>
      </c>
      <c r="F60" s="16">
        <v>2029</v>
      </c>
      <c r="G60" s="16">
        <v>2029</v>
      </c>
      <c r="H60" s="19">
        <f>3.67096436*1.2</f>
        <v>4.4051572319999996</v>
      </c>
      <c r="I60" s="19">
        <f>27.5433176*1.2</f>
        <v>33.051981120000001</v>
      </c>
      <c r="J60" s="22" t="s">
        <v>134</v>
      </c>
      <c r="K60" s="22">
        <f t="shared" si="160"/>
        <v>4.4051572319999996</v>
      </c>
      <c r="L60" s="22">
        <f t="shared" si="161"/>
        <v>33.051981120000001</v>
      </c>
      <c r="M60" s="22" t="str">
        <f t="shared" si="162"/>
        <v>ноябрь 2023 г.</v>
      </c>
      <c r="N60" s="16" t="s">
        <v>103</v>
      </c>
      <c r="O60" s="19">
        <v>0</v>
      </c>
      <c r="P60" s="19">
        <f>94410.39936/1000</f>
        <v>94.41039936</v>
      </c>
      <c r="Q60" s="19">
        <f>117738.313890752/1000</f>
        <v>117.73831389075201</v>
      </c>
      <c r="R60" s="19">
        <f>94410.39936/1000</f>
        <v>94.41039936</v>
      </c>
      <c r="S60" s="19">
        <f>132285.225893173/1000</f>
        <v>132.28522589317299</v>
      </c>
      <c r="T60" s="19">
        <f>BR60+CB60</f>
        <v>43.495186875659996</v>
      </c>
      <c r="U60" s="19">
        <f t="shared" si="164"/>
        <v>43.495186875659996</v>
      </c>
      <c r="V60" s="26">
        <f t="shared" si="136"/>
        <v>43.495186875659996</v>
      </c>
      <c r="W60" s="26">
        <f t="shared" si="165"/>
        <v>43.495186875659996</v>
      </c>
      <c r="X60" s="19">
        <f t="shared" si="151"/>
        <v>43.495186875659996</v>
      </c>
      <c r="Y60" s="19">
        <v>0</v>
      </c>
      <c r="Z60" s="19">
        <v>0</v>
      </c>
      <c r="AA60" s="19">
        <v>0</v>
      </c>
      <c r="AB60" s="19">
        <v>0</v>
      </c>
      <c r="AC60" s="19">
        <v>0</v>
      </c>
      <c r="AD60" s="19">
        <v>0</v>
      </c>
      <c r="AE60" s="19">
        <v>0</v>
      </c>
      <c r="AF60" s="19">
        <v>0</v>
      </c>
      <c r="AG60" s="19">
        <v>0</v>
      </c>
      <c r="AH60" s="19">
        <v>0</v>
      </c>
      <c r="AI60" s="19">
        <f t="shared" si="152"/>
        <v>0</v>
      </c>
      <c r="AJ60" s="19">
        <v>0</v>
      </c>
      <c r="AK60" s="19">
        <v>0</v>
      </c>
      <c r="AL60" s="19">
        <v>0</v>
      </c>
      <c r="AM60" s="19">
        <v>0</v>
      </c>
      <c r="AN60" s="19">
        <v>0</v>
      </c>
      <c r="AO60" s="19">
        <v>0</v>
      </c>
      <c r="AP60" s="21">
        <v>0</v>
      </c>
      <c r="AQ60" s="21">
        <v>0</v>
      </c>
      <c r="AR60" s="21">
        <v>0</v>
      </c>
      <c r="AS60" s="21">
        <f t="shared" si="153"/>
        <v>0</v>
      </c>
      <c r="AT60" s="21">
        <v>0</v>
      </c>
      <c r="AU60" s="21">
        <v>0</v>
      </c>
      <c r="AV60" s="21">
        <v>0</v>
      </c>
      <c r="AW60" s="21">
        <v>0</v>
      </c>
      <c r="AX60" s="21">
        <v>0</v>
      </c>
      <c r="AY60" s="21">
        <v>0</v>
      </c>
      <c r="AZ60" s="21">
        <v>0</v>
      </c>
      <c r="BA60" s="21">
        <v>0</v>
      </c>
      <c r="BB60" s="21">
        <v>0</v>
      </c>
      <c r="BC60" s="21">
        <f t="shared" si="154"/>
        <v>0</v>
      </c>
      <c r="BD60" s="21">
        <v>0</v>
      </c>
      <c r="BE60" s="21">
        <v>0</v>
      </c>
      <c r="BF60" s="21">
        <v>0</v>
      </c>
      <c r="BG60" s="21">
        <v>0</v>
      </c>
      <c r="BH60" s="21">
        <f t="shared" si="155"/>
        <v>0</v>
      </c>
      <c r="BI60" s="21">
        <v>0</v>
      </c>
      <c r="BJ60" s="21">
        <v>0</v>
      </c>
      <c r="BK60" s="21">
        <v>0</v>
      </c>
      <c r="BL60" s="21">
        <v>0</v>
      </c>
      <c r="BM60" s="21">
        <f t="shared" si="156"/>
        <v>0</v>
      </c>
      <c r="BN60" s="21">
        <v>0</v>
      </c>
      <c r="BO60" s="21">
        <v>0</v>
      </c>
      <c r="BP60" s="21">
        <v>0</v>
      </c>
      <c r="BQ60" s="21">
        <v>0</v>
      </c>
      <c r="BR60" s="21">
        <f t="shared" si="166"/>
        <v>3.6488019239999998</v>
      </c>
      <c r="BS60" s="21">
        <v>0</v>
      </c>
      <c r="BT60" s="21">
        <v>0</v>
      </c>
      <c r="BU60" s="21">
        <v>3.6488019239999998</v>
      </c>
      <c r="BV60" s="21">
        <v>0</v>
      </c>
      <c r="BW60" s="21">
        <f t="shared" si="158"/>
        <v>3.6488019239999998</v>
      </c>
      <c r="BX60" s="21">
        <v>0</v>
      </c>
      <c r="BY60" s="21">
        <v>0</v>
      </c>
      <c r="BZ60" s="21">
        <f>BU60</f>
        <v>3.6488019239999998</v>
      </c>
      <c r="CA60" s="21">
        <v>0</v>
      </c>
      <c r="CB60" s="21">
        <f>CE60</f>
        <v>39.846384951659999</v>
      </c>
      <c r="CC60" s="21">
        <v>0</v>
      </c>
      <c r="CD60" s="21">
        <v>0</v>
      </c>
      <c r="CE60" s="21">
        <f>39846.38495166/1000</f>
        <v>39.846384951659999</v>
      </c>
      <c r="CF60" s="21">
        <v>0</v>
      </c>
      <c r="CG60" s="21">
        <f t="shared" si="159"/>
        <v>39.846384951659999</v>
      </c>
      <c r="CH60" s="21">
        <v>0</v>
      </c>
      <c r="CI60" s="21">
        <v>0</v>
      </c>
      <c r="CJ60" s="21">
        <f>CE60</f>
        <v>39.846384951659999</v>
      </c>
      <c r="CK60" s="21">
        <v>0</v>
      </c>
      <c r="CL60" s="21">
        <v>43.495186875659996</v>
      </c>
      <c r="CM60" s="19">
        <f t="shared" si="167"/>
        <v>0</v>
      </c>
      <c r="CN60" s="19">
        <f t="shared" si="167"/>
        <v>0</v>
      </c>
      <c r="CO60" s="21">
        <f t="shared" si="149"/>
        <v>43.495186875659996</v>
      </c>
      <c r="CP60" s="21">
        <v>0</v>
      </c>
      <c r="CQ60" s="21">
        <f t="shared" si="163"/>
        <v>43.495186875659996</v>
      </c>
      <c r="CR60" s="21">
        <v>0</v>
      </c>
      <c r="CS60" s="21">
        <v>0</v>
      </c>
      <c r="CT60" s="21">
        <f t="shared" si="150"/>
        <v>43.495186875659996</v>
      </c>
      <c r="CU60" s="21">
        <v>0</v>
      </c>
      <c r="CV60" s="31" t="s">
        <v>130</v>
      </c>
    </row>
    <row r="61" spans="1:100" s="8" customFormat="1" ht="63" x14ac:dyDescent="0.25">
      <c r="A61" s="24" t="s">
        <v>122</v>
      </c>
      <c r="B61" s="20" t="s">
        <v>139</v>
      </c>
      <c r="C61" s="35" t="s">
        <v>175</v>
      </c>
      <c r="D61" s="16" t="s">
        <v>111</v>
      </c>
      <c r="E61" s="16">
        <v>2025</v>
      </c>
      <c r="F61" s="16">
        <v>2025</v>
      </c>
      <c r="G61" s="16">
        <v>2025</v>
      </c>
      <c r="H61" s="19">
        <f>0.06819567*1.2</f>
        <v>8.1834803999999997E-2</v>
      </c>
      <c r="I61" s="19">
        <f>0.51975764*1.2</f>
        <v>0.62370916799999998</v>
      </c>
      <c r="J61" s="22" t="s">
        <v>134</v>
      </c>
      <c r="K61" s="22">
        <f t="shared" si="160"/>
        <v>8.1834803999999997E-2</v>
      </c>
      <c r="L61" s="22">
        <f t="shared" si="161"/>
        <v>0.62370916799999998</v>
      </c>
      <c r="M61" s="22" t="str">
        <f t="shared" si="162"/>
        <v>ноябрь 2023 г.</v>
      </c>
      <c r="N61" s="16" t="s">
        <v>103</v>
      </c>
      <c r="O61" s="19">
        <v>0</v>
      </c>
      <c r="P61" s="19">
        <f>18462.4158/1000</f>
        <v>18.462415799999999</v>
      </c>
      <c r="Q61" s="19">
        <f>19348.6117584/1000</f>
        <v>19.348611758399997</v>
      </c>
      <c r="R61" s="19">
        <f>18462.4158/1000</f>
        <v>18.462415799999999</v>
      </c>
      <c r="S61" s="19">
        <f>21713.6102975484/1000</f>
        <v>21.713610297548399</v>
      </c>
      <c r="T61" s="19">
        <f>AN61</f>
        <v>0.68829051744000003</v>
      </c>
      <c r="U61" s="19">
        <f t="shared" si="164"/>
        <v>0.68829051744000003</v>
      </c>
      <c r="V61" s="26">
        <f t="shared" si="136"/>
        <v>0.68829051744000003</v>
      </c>
      <c r="W61" s="26">
        <f t="shared" si="165"/>
        <v>0.68829051744000003</v>
      </c>
      <c r="X61" s="19">
        <f t="shared" si="151"/>
        <v>0.68829051744000003</v>
      </c>
      <c r="Y61" s="19">
        <v>0</v>
      </c>
      <c r="Z61" s="19">
        <v>0</v>
      </c>
      <c r="AA61" s="19">
        <v>0</v>
      </c>
      <c r="AB61" s="19">
        <v>0</v>
      </c>
      <c r="AC61" s="19">
        <v>0</v>
      </c>
      <c r="AD61" s="19">
        <v>0</v>
      </c>
      <c r="AE61" s="19">
        <v>0</v>
      </c>
      <c r="AF61" s="19">
        <v>0</v>
      </c>
      <c r="AG61" s="19">
        <v>0</v>
      </c>
      <c r="AH61" s="19">
        <v>0</v>
      </c>
      <c r="AI61" s="19">
        <f t="shared" si="152"/>
        <v>0</v>
      </c>
      <c r="AJ61" s="19">
        <v>0</v>
      </c>
      <c r="AK61" s="19">
        <v>0</v>
      </c>
      <c r="AL61" s="19">
        <v>0</v>
      </c>
      <c r="AM61" s="19">
        <v>0</v>
      </c>
      <c r="AN61" s="19">
        <f>AQ61</f>
        <v>0.68829051744000003</v>
      </c>
      <c r="AO61" s="19">
        <v>0</v>
      </c>
      <c r="AP61" s="21">
        <v>0</v>
      </c>
      <c r="AQ61" s="21">
        <f>688.29051744/1000</f>
        <v>0.68829051744000003</v>
      </c>
      <c r="AR61" s="21">
        <v>0</v>
      </c>
      <c r="AS61" s="21">
        <f t="shared" si="153"/>
        <v>0.68829051744000003</v>
      </c>
      <c r="AT61" s="21">
        <v>0</v>
      </c>
      <c r="AU61" s="21">
        <v>0</v>
      </c>
      <c r="AV61" s="21">
        <v>0.68829051744000003</v>
      </c>
      <c r="AW61" s="21">
        <v>0</v>
      </c>
      <c r="AX61" s="21">
        <v>0</v>
      </c>
      <c r="AY61" s="21">
        <v>0</v>
      </c>
      <c r="AZ61" s="21">
        <v>0</v>
      </c>
      <c r="BA61" s="21">
        <v>0</v>
      </c>
      <c r="BB61" s="21">
        <v>0</v>
      </c>
      <c r="BC61" s="21">
        <f t="shared" si="154"/>
        <v>0</v>
      </c>
      <c r="BD61" s="21">
        <v>0</v>
      </c>
      <c r="BE61" s="21">
        <v>0</v>
      </c>
      <c r="BF61" s="21">
        <v>0</v>
      </c>
      <c r="BG61" s="21">
        <v>0</v>
      </c>
      <c r="BH61" s="21">
        <f t="shared" si="155"/>
        <v>0</v>
      </c>
      <c r="BI61" s="21">
        <v>0</v>
      </c>
      <c r="BJ61" s="21">
        <v>0</v>
      </c>
      <c r="BK61" s="21">
        <v>0</v>
      </c>
      <c r="BL61" s="21">
        <v>0</v>
      </c>
      <c r="BM61" s="21">
        <f t="shared" si="156"/>
        <v>0</v>
      </c>
      <c r="BN61" s="21">
        <v>0</v>
      </c>
      <c r="BO61" s="21">
        <v>0</v>
      </c>
      <c r="BP61" s="21">
        <v>0</v>
      </c>
      <c r="BQ61" s="21">
        <v>0</v>
      </c>
      <c r="BR61" s="21">
        <f t="shared" si="166"/>
        <v>0</v>
      </c>
      <c r="BS61" s="21">
        <v>0</v>
      </c>
      <c r="BT61" s="21">
        <v>0</v>
      </c>
      <c r="BU61" s="21">
        <v>0</v>
      </c>
      <c r="BV61" s="21">
        <v>0</v>
      </c>
      <c r="BW61" s="21">
        <f t="shared" si="158"/>
        <v>0</v>
      </c>
      <c r="BX61" s="21">
        <v>0</v>
      </c>
      <c r="BY61" s="21">
        <v>0</v>
      </c>
      <c r="BZ61" s="21">
        <v>0</v>
      </c>
      <c r="CA61" s="21">
        <v>0</v>
      </c>
      <c r="CB61" s="21">
        <v>0</v>
      </c>
      <c r="CC61" s="21">
        <v>0</v>
      </c>
      <c r="CD61" s="21">
        <v>0</v>
      </c>
      <c r="CE61" s="21">
        <v>0</v>
      </c>
      <c r="CF61" s="21">
        <v>0</v>
      </c>
      <c r="CG61" s="21">
        <f t="shared" si="159"/>
        <v>0</v>
      </c>
      <c r="CH61" s="21">
        <v>0</v>
      </c>
      <c r="CI61" s="21">
        <v>0</v>
      </c>
      <c r="CJ61" s="21">
        <v>0</v>
      </c>
      <c r="CK61" s="21">
        <v>0</v>
      </c>
      <c r="CL61" s="21">
        <v>0.68829051744000003</v>
      </c>
      <c r="CM61" s="19">
        <f t="shared" si="167"/>
        <v>0</v>
      </c>
      <c r="CN61" s="19">
        <f t="shared" si="167"/>
        <v>0</v>
      </c>
      <c r="CO61" s="21">
        <f t="shared" si="149"/>
        <v>0.68829051744000003</v>
      </c>
      <c r="CP61" s="21">
        <v>0</v>
      </c>
      <c r="CQ61" s="21">
        <f t="shared" si="163"/>
        <v>0.68829051744000003</v>
      </c>
      <c r="CR61" s="21">
        <v>0</v>
      </c>
      <c r="CS61" s="21">
        <v>0</v>
      </c>
      <c r="CT61" s="21">
        <f t="shared" si="150"/>
        <v>0.68829051744000003</v>
      </c>
      <c r="CU61" s="21">
        <v>0</v>
      </c>
      <c r="CV61" s="31" t="s">
        <v>130</v>
      </c>
    </row>
    <row r="62" spans="1:100" s="8" customFormat="1" ht="63" x14ac:dyDescent="0.25">
      <c r="A62" s="24" t="s">
        <v>123</v>
      </c>
      <c r="B62" s="20" t="s">
        <v>248</v>
      </c>
      <c r="C62" s="35" t="s">
        <v>176</v>
      </c>
      <c r="D62" s="16" t="s">
        <v>111</v>
      </c>
      <c r="E62" s="16">
        <v>2027</v>
      </c>
      <c r="F62" s="16">
        <v>2027</v>
      </c>
      <c r="G62" s="16">
        <v>2027</v>
      </c>
      <c r="H62" s="19">
        <f>1.64649469*1.2</f>
        <v>1.9757936279999999</v>
      </c>
      <c r="I62" s="19">
        <v>15.957824532</v>
      </c>
      <c r="J62" s="22" t="s">
        <v>134</v>
      </c>
      <c r="K62" s="22">
        <f t="shared" si="160"/>
        <v>1.9757936279999999</v>
      </c>
      <c r="L62" s="22">
        <f t="shared" si="161"/>
        <v>15.957824532</v>
      </c>
      <c r="M62" s="22" t="str">
        <f t="shared" si="162"/>
        <v>ноябрь 2023 г.</v>
      </c>
      <c r="N62" s="16" t="s">
        <v>103</v>
      </c>
      <c r="O62" s="19">
        <v>0</v>
      </c>
      <c r="P62" s="19">
        <f>95412.33/1000</f>
        <v>95.412329999999997</v>
      </c>
      <c r="Q62" s="19">
        <f>109402.980379093/1000</f>
        <v>109.40298037909301</v>
      </c>
      <c r="R62" s="19">
        <f>95412.33/1000</f>
        <v>95.412329999999997</v>
      </c>
      <c r="S62" s="19">
        <f>123360.716417848/1000</f>
        <v>123.360716417848</v>
      </c>
      <c r="T62" s="19">
        <f>BH62</f>
        <v>19.267559484</v>
      </c>
      <c r="U62" s="19">
        <f t="shared" si="164"/>
        <v>19.267559484</v>
      </c>
      <c r="V62" s="26">
        <f t="shared" si="136"/>
        <v>19.267559484</v>
      </c>
      <c r="W62" s="26">
        <f t="shared" si="165"/>
        <v>19.267559484</v>
      </c>
      <c r="X62" s="19">
        <f t="shared" si="151"/>
        <v>19.267559484</v>
      </c>
      <c r="Y62" s="19">
        <v>0</v>
      </c>
      <c r="Z62" s="19">
        <v>0</v>
      </c>
      <c r="AA62" s="19">
        <v>0</v>
      </c>
      <c r="AB62" s="19">
        <v>0</v>
      </c>
      <c r="AC62" s="19">
        <v>0</v>
      </c>
      <c r="AD62" s="19">
        <v>0</v>
      </c>
      <c r="AE62" s="19">
        <v>0</v>
      </c>
      <c r="AF62" s="19">
        <v>0</v>
      </c>
      <c r="AG62" s="19">
        <v>0</v>
      </c>
      <c r="AH62" s="19">
        <v>0</v>
      </c>
      <c r="AI62" s="19">
        <f t="shared" si="152"/>
        <v>0</v>
      </c>
      <c r="AJ62" s="19">
        <v>0</v>
      </c>
      <c r="AK62" s="19">
        <v>0</v>
      </c>
      <c r="AL62" s="19">
        <v>0</v>
      </c>
      <c r="AM62" s="19">
        <v>0</v>
      </c>
      <c r="AN62" s="19">
        <v>0</v>
      </c>
      <c r="AO62" s="19">
        <v>0</v>
      </c>
      <c r="AP62" s="21">
        <v>0</v>
      </c>
      <c r="AQ62" s="21">
        <v>0</v>
      </c>
      <c r="AR62" s="21">
        <v>0</v>
      </c>
      <c r="AS62" s="21">
        <f t="shared" si="153"/>
        <v>0</v>
      </c>
      <c r="AT62" s="21">
        <v>0</v>
      </c>
      <c r="AU62" s="21">
        <v>0</v>
      </c>
      <c r="AV62" s="21">
        <v>0</v>
      </c>
      <c r="AW62" s="21">
        <v>0</v>
      </c>
      <c r="AX62" s="21">
        <f>BA62</f>
        <v>0</v>
      </c>
      <c r="AY62" s="21">
        <v>0</v>
      </c>
      <c r="AZ62" s="21">
        <v>0</v>
      </c>
      <c r="BA62" s="21">
        <v>0</v>
      </c>
      <c r="BB62" s="21">
        <v>0</v>
      </c>
      <c r="BC62" s="21">
        <f t="shared" si="154"/>
        <v>0</v>
      </c>
      <c r="BD62" s="21">
        <v>0</v>
      </c>
      <c r="BE62" s="21">
        <v>0</v>
      </c>
      <c r="BF62" s="21">
        <v>0</v>
      </c>
      <c r="BG62" s="21">
        <v>0</v>
      </c>
      <c r="BH62" s="21">
        <f t="shared" si="155"/>
        <v>19.267559484</v>
      </c>
      <c r="BI62" s="21">
        <v>0</v>
      </c>
      <c r="BJ62" s="21">
        <v>0</v>
      </c>
      <c r="BK62" s="21">
        <f>19267.559484/1000</f>
        <v>19.267559484</v>
      </c>
      <c r="BL62" s="21">
        <v>0</v>
      </c>
      <c r="BM62" s="21">
        <f t="shared" si="156"/>
        <v>19.267559484</v>
      </c>
      <c r="BN62" s="21">
        <v>0</v>
      </c>
      <c r="BO62" s="21">
        <v>0</v>
      </c>
      <c r="BP62" s="21">
        <f>BK62</f>
        <v>19.267559484</v>
      </c>
      <c r="BQ62" s="21">
        <v>0</v>
      </c>
      <c r="BR62" s="21">
        <f t="shared" si="166"/>
        <v>0</v>
      </c>
      <c r="BS62" s="21">
        <v>0</v>
      </c>
      <c r="BT62" s="21">
        <v>0</v>
      </c>
      <c r="BU62" s="21">
        <v>0</v>
      </c>
      <c r="BV62" s="21">
        <v>0</v>
      </c>
      <c r="BW62" s="21">
        <f t="shared" si="158"/>
        <v>0</v>
      </c>
      <c r="BX62" s="21">
        <v>0</v>
      </c>
      <c r="BY62" s="21">
        <v>0</v>
      </c>
      <c r="BZ62" s="21">
        <v>0</v>
      </c>
      <c r="CA62" s="21">
        <v>0</v>
      </c>
      <c r="CB62" s="21">
        <v>0</v>
      </c>
      <c r="CC62" s="21">
        <v>0</v>
      </c>
      <c r="CD62" s="21">
        <v>0</v>
      </c>
      <c r="CE62" s="21">
        <v>0</v>
      </c>
      <c r="CF62" s="21">
        <v>0</v>
      </c>
      <c r="CG62" s="21">
        <f t="shared" si="159"/>
        <v>0</v>
      </c>
      <c r="CH62" s="21">
        <v>0</v>
      </c>
      <c r="CI62" s="21">
        <v>0</v>
      </c>
      <c r="CJ62" s="21">
        <v>0</v>
      </c>
      <c r="CK62" s="21">
        <v>0</v>
      </c>
      <c r="CL62" s="21">
        <v>19.267559484</v>
      </c>
      <c r="CM62" s="19">
        <f t="shared" si="167"/>
        <v>0</v>
      </c>
      <c r="CN62" s="19">
        <f t="shared" si="167"/>
        <v>0</v>
      </c>
      <c r="CO62" s="21">
        <f t="shared" si="149"/>
        <v>19.267559484</v>
      </c>
      <c r="CP62" s="21">
        <v>0</v>
      </c>
      <c r="CQ62" s="21">
        <f t="shared" si="163"/>
        <v>19.267559484</v>
      </c>
      <c r="CR62" s="21">
        <v>0</v>
      </c>
      <c r="CS62" s="21">
        <v>0</v>
      </c>
      <c r="CT62" s="21">
        <f t="shared" si="150"/>
        <v>19.267559484</v>
      </c>
      <c r="CU62" s="21">
        <v>0</v>
      </c>
      <c r="CV62" s="31" t="s">
        <v>130</v>
      </c>
    </row>
    <row r="63" spans="1:100" s="8" customFormat="1" ht="63" x14ac:dyDescent="0.25">
      <c r="A63" s="24" t="s">
        <v>124</v>
      </c>
      <c r="B63" s="20" t="s">
        <v>249</v>
      </c>
      <c r="C63" s="35" t="s">
        <v>177</v>
      </c>
      <c r="D63" s="16" t="s">
        <v>111</v>
      </c>
      <c r="E63" s="16">
        <v>2029</v>
      </c>
      <c r="F63" s="16">
        <v>2029</v>
      </c>
      <c r="G63" s="16">
        <v>2029</v>
      </c>
      <c r="H63" s="19">
        <f>1.02124476*1.065*1.2</f>
        <v>1.3051508032799999</v>
      </c>
      <c r="I63" s="19">
        <v>9.860757689519998</v>
      </c>
      <c r="J63" s="22" t="s">
        <v>134</v>
      </c>
      <c r="K63" s="22">
        <f t="shared" si="160"/>
        <v>1.3051508032799999</v>
      </c>
      <c r="L63" s="22">
        <f t="shared" si="161"/>
        <v>9.860757689519998</v>
      </c>
      <c r="M63" s="22" t="str">
        <f t="shared" si="162"/>
        <v>ноябрь 2023 г.</v>
      </c>
      <c r="N63" s="16" t="s">
        <v>103</v>
      </c>
      <c r="O63" s="19">
        <v>0</v>
      </c>
      <c r="P63" s="19">
        <f>24644.23488/1000</f>
        <v>24.644234879999999</v>
      </c>
      <c r="Q63" s="19">
        <f>30917.428143575/1000</f>
        <v>30.917428143575002</v>
      </c>
      <c r="R63" s="19">
        <f>24644.23488/1000</f>
        <v>24.644234879999999</v>
      </c>
      <c r="S63" s="19">
        <f>34728.7152965387/1000</f>
        <v>34.728715296538702</v>
      </c>
      <c r="T63" s="19">
        <f>CB63</f>
        <v>13.026468059999999</v>
      </c>
      <c r="U63" s="19">
        <f t="shared" si="164"/>
        <v>13.026468059999999</v>
      </c>
      <c r="V63" s="26">
        <f t="shared" si="136"/>
        <v>13.026468059999999</v>
      </c>
      <c r="W63" s="26">
        <f t="shared" si="165"/>
        <v>13.026468059999999</v>
      </c>
      <c r="X63" s="19">
        <f t="shared" si="151"/>
        <v>13.026468059999999</v>
      </c>
      <c r="Y63" s="19">
        <v>0</v>
      </c>
      <c r="Z63" s="19">
        <v>0</v>
      </c>
      <c r="AA63" s="19">
        <v>0</v>
      </c>
      <c r="AB63" s="19">
        <v>0</v>
      </c>
      <c r="AC63" s="19">
        <v>0</v>
      </c>
      <c r="AD63" s="19">
        <v>0</v>
      </c>
      <c r="AE63" s="19">
        <v>0</v>
      </c>
      <c r="AF63" s="19">
        <v>0</v>
      </c>
      <c r="AG63" s="19">
        <v>0</v>
      </c>
      <c r="AH63" s="19">
        <v>0</v>
      </c>
      <c r="AI63" s="19">
        <f t="shared" si="152"/>
        <v>0</v>
      </c>
      <c r="AJ63" s="19">
        <v>0</v>
      </c>
      <c r="AK63" s="19">
        <v>0</v>
      </c>
      <c r="AL63" s="19">
        <v>0</v>
      </c>
      <c r="AM63" s="19">
        <v>0</v>
      </c>
      <c r="AN63" s="19">
        <v>0</v>
      </c>
      <c r="AO63" s="19">
        <v>0</v>
      </c>
      <c r="AP63" s="21">
        <v>0</v>
      </c>
      <c r="AQ63" s="21">
        <v>0</v>
      </c>
      <c r="AR63" s="21">
        <v>0</v>
      </c>
      <c r="AS63" s="21">
        <f t="shared" si="153"/>
        <v>0</v>
      </c>
      <c r="AT63" s="21">
        <v>0</v>
      </c>
      <c r="AU63" s="21">
        <v>0</v>
      </c>
      <c r="AV63" s="21">
        <v>0</v>
      </c>
      <c r="AW63" s="21">
        <v>0</v>
      </c>
      <c r="AX63" s="21">
        <f>BA63</f>
        <v>0</v>
      </c>
      <c r="AY63" s="21">
        <v>0</v>
      </c>
      <c r="AZ63" s="21">
        <v>0</v>
      </c>
      <c r="BA63" s="21">
        <v>0</v>
      </c>
      <c r="BB63" s="21">
        <v>0</v>
      </c>
      <c r="BC63" s="21">
        <f t="shared" si="154"/>
        <v>0</v>
      </c>
      <c r="BD63" s="21">
        <v>0</v>
      </c>
      <c r="BE63" s="21">
        <v>0</v>
      </c>
      <c r="BF63" s="21">
        <v>0</v>
      </c>
      <c r="BG63" s="21">
        <v>0</v>
      </c>
      <c r="BH63" s="21">
        <f t="shared" si="155"/>
        <v>0</v>
      </c>
      <c r="BI63" s="21">
        <v>0</v>
      </c>
      <c r="BJ63" s="21">
        <v>0</v>
      </c>
      <c r="BK63" s="21">
        <v>0</v>
      </c>
      <c r="BL63" s="21">
        <v>0</v>
      </c>
      <c r="BM63" s="21">
        <f t="shared" si="156"/>
        <v>0</v>
      </c>
      <c r="BN63" s="21">
        <v>0</v>
      </c>
      <c r="BO63" s="21">
        <v>0</v>
      </c>
      <c r="BP63" s="21">
        <v>0</v>
      </c>
      <c r="BQ63" s="21">
        <v>0</v>
      </c>
      <c r="BR63" s="21">
        <f t="shared" si="166"/>
        <v>0</v>
      </c>
      <c r="BS63" s="21">
        <v>0</v>
      </c>
      <c r="BT63" s="21">
        <v>0</v>
      </c>
      <c r="BU63" s="21">
        <v>0</v>
      </c>
      <c r="BV63" s="21">
        <v>0</v>
      </c>
      <c r="BW63" s="21">
        <f>SUM(BX63:CA63)</f>
        <v>0</v>
      </c>
      <c r="BX63" s="21">
        <v>0</v>
      </c>
      <c r="BY63" s="21">
        <v>0</v>
      </c>
      <c r="BZ63" s="21">
        <v>0</v>
      </c>
      <c r="CA63" s="21">
        <v>0</v>
      </c>
      <c r="CB63" s="21">
        <f>CE63</f>
        <v>13.026468059999999</v>
      </c>
      <c r="CC63" s="21">
        <v>0</v>
      </c>
      <c r="CD63" s="21">
        <v>0</v>
      </c>
      <c r="CE63" s="21">
        <f>13026.46806/1000</f>
        <v>13.026468059999999</v>
      </c>
      <c r="CF63" s="21">
        <v>0</v>
      </c>
      <c r="CG63" s="21">
        <f t="shared" si="159"/>
        <v>13.026468059999999</v>
      </c>
      <c r="CH63" s="21">
        <v>0</v>
      </c>
      <c r="CI63" s="21">
        <v>0</v>
      </c>
      <c r="CJ63" s="21">
        <f>CE63</f>
        <v>13.026468059999999</v>
      </c>
      <c r="CK63" s="21">
        <v>0</v>
      </c>
      <c r="CL63" s="21">
        <v>13.026468059999999</v>
      </c>
      <c r="CM63" s="19">
        <v>0</v>
      </c>
      <c r="CN63" s="19">
        <v>0</v>
      </c>
      <c r="CO63" s="21">
        <f t="shared" si="149"/>
        <v>13.026468059999999</v>
      </c>
      <c r="CP63" s="21">
        <v>0</v>
      </c>
      <c r="CQ63" s="21">
        <f t="shared" si="163"/>
        <v>13.026468059999999</v>
      </c>
      <c r="CR63" s="21">
        <v>0</v>
      </c>
      <c r="CS63" s="21">
        <v>0</v>
      </c>
      <c r="CT63" s="21">
        <f t="shared" si="150"/>
        <v>13.026468059999999</v>
      </c>
      <c r="CU63" s="21">
        <v>0</v>
      </c>
      <c r="CV63" s="31" t="s">
        <v>130</v>
      </c>
    </row>
    <row r="64" spans="1:100" s="8" customFormat="1" ht="63" x14ac:dyDescent="0.25">
      <c r="A64" s="24" t="s">
        <v>125</v>
      </c>
      <c r="B64" s="20" t="s">
        <v>140</v>
      </c>
      <c r="C64" s="35" t="s">
        <v>178</v>
      </c>
      <c r="D64" s="16" t="s">
        <v>111</v>
      </c>
      <c r="E64" s="16">
        <v>2028</v>
      </c>
      <c r="F64" s="16">
        <v>2028</v>
      </c>
      <c r="G64" s="16">
        <v>2028</v>
      </c>
      <c r="H64" s="19">
        <f>5.95543664*1.065*1.2</f>
        <v>7.6110480259199988</v>
      </c>
      <c r="I64" s="19">
        <v>52.387008650459997</v>
      </c>
      <c r="J64" s="22" t="s">
        <v>134</v>
      </c>
      <c r="K64" s="22">
        <f t="shared" si="160"/>
        <v>7.6110480259199988</v>
      </c>
      <c r="L64" s="22">
        <f t="shared" si="161"/>
        <v>52.387008650459997</v>
      </c>
      <c r="M64" s="22" t="str">
        <f t="shared" si="162"/>
        <v>ноябрь 2023 г.</v>
      </c>
      <c r="N64" s="16" t="s">
        <v>103</v>
      </c>
      <c r="O64" s="19">
        <v>0</v>
      </c>
      <c r="P64" s="19">
        <f>77793.33312/1000</f>
        <v>77.79333312</v>
      </c>
      <c r="Q64" s="19">
        <f>93303.6676896101/1000</f>
        <v>93.303667689610094</v>
      </c>
      <c r="R64" s="19">
        <f>77793.33312/1000</f>
        <v>77.79333312</v>
      </c>
      <c r="S64" s="19">
        <f>105006.276690748/1000</f>
        <v>105.006276690748</v>
      </c>
      <c r="T64" s="19">
        <f>BR64</f>
        <v>66.161951702279993</v>
      </c>
      <c r="U64" s="19">
        <f t="shared" si="164"/>
        <v>66.161951702279993</v>
      </c>
      <c r="V64" s="26">
        <f t="shared" si="136"/>
        <v>66.161951702279993</v>
      </c>
      <c r="W64" s="26">
        <f t="shared" si="165"/>
        <v>66.161951702279993</v>
      </c>
      <c r="X64" s="19">
        <f t="shared" si="151"/>
        <v>66.161951702279993</v>
      </c>
      <c r="Y64" s="19">
        <v>0</v>
      </c>
      <c r="Z64" s="19">
        <v>0</v>
      </c>
      <c r="AA64" s="19">
        <v>0</v>
      </c>
      <c r="AB64" s="19">
        <v>0</v>
      </c>
      <c r="AC64" s="19">
        <v>0</v>
      </c>
      <c r="AD64" s="19">
        <v>0</v>
      </c>
      <c r="AE64" s="19">
        <v>0</v>
      </c>
      <c r="AF64" s="19">
        <v>0</v>
      </c>
      <c r="AG64" s="19">
        <v>0</v>
      </c>
      <c r="AH64" s="19">
        <v>0</v>
      </c>
      <c r="AI64" s="19">
        <f t="shared" si="152"/>
        <v>0</v>
      </c>
      <c r="AJ64" s="19">
        <v>0</v>
      </c>
      <c r="AK64" s="19">
        <v>0</v>
      </c>
      <c r="AL64" s="19">
        <v>0</v>
      </c>
      <c r="AM64" s="19">
        <v>0</v>
      </c>
      <c r="AN64" s="19">
        <v>0</v>
      </c>
      <c r="AO64" s="19">
        <v>0</v>
      </c>
      <c r="AP64" s="19">
        <v>0</v>
      </c>
      <c r="AQ64" s="19">
        <v>0</v>
      </c>
      <c r="AR64" s="19">
        <v>0</v>
      </c>
      <c r="AS64" s="21">
        <f t="shared" si="153"/>
        <v>0</v>
      </c>
      <c r="AT64" s="19">
        <v>0</v>
      </c>
      <c r="AU64" s="19">
        <v>0</v>
      </c>
      <c r="AV64" s="19">
        <v>0</v>
      </c>
      <c r="AW64" s="19">
        <v>0</v>
      </c>
      <c r="AX64" s="19">
        <v>0</v>
      </c>
      <c r="AY64" s="19">
        <v>0</v>
      </c>
      <c r="AZ64" s="19">
        <v>0</v>
      </c>
      <c r="BA64" s="19">
        <v>0</v>
      </c>
      <c r="BB64" s="19">
        <v>0</v>
      </c>
      <c r="BC64" s="21">
        <f t="shared" si="154"/>
        <v>0</v>
      </c>
      <c r="BD64" s="19">
        <v>0</v>
      </c>
      <c r="BE64" s="19">
        <v>0</v>
      </c>
      <c r="BF64" s="19">
        <v>0</v>
      </c>
      <c r="BG64" s="19">
        <v>0</v>
      </c>
      <c r="BH64" s="21">
        <f t="shared" si="155"/>
        <v>0</v>
      </c>
      <c r="BI64" s="19">
        <v>0</v>
      </c>
      <c r="BJ64" s="19">
        <v>0</v>
      </c>
      <c r="BK64" s="19">
        <v>0</v>
      </c>
      <c r="BL64" s="19">
        <v>0</v>
      </c>
      <c r="BM64" s="21">
        <f t="shared" si="156"/>
        <v>0</v>
      </c>
      <c r="BN64" s="19">
        <v>0</v>
      </c>
      <c r="BO64" s="19">
        <v>0</v>
      </c>
      <c r="BP64" s="19">
        <v>0</v>
      </c>
      <c r="BQ64" s="19">
        <v>0</v>
      </c>
      <c r="BR64" s="19">
        <f t="shared" si="166"/>
        <v>66.161951702279993</v>
      </c>
      <c r="BS64" s="19">
        <v>0</v>
      </c>
      <c r="BT64" s="19">
        <v>0</v>
      </c>
      <c r="BU64" s="19">
        <f>66161.95170228/1000</f>
        <v>66.161951702279993</v>
      </c>
      <c r="BV64" s="19">
        <v>0</v>
      </c>
      <c r="BW64" s="21">
        <f t="shared" si="158"/>
        <v>66.161951702279993</v>
      </c>
      <c r="BX64" s="19">
        <v>0</v>
      </c>
      <c r="BY64" s="19">
        <v>0</v>
      </c>
      <c r="BZ64" s="19">
        <f>BU64</f>
        <v>66.161951702279993</v>
      </c>
      <c r="CA64" s="19">
        <v>0</v>
      </c>
      <c r="CB64" s="19">
        <f>CE64</f>
        <v>0</v>
      </c>
      <c r="CC64" s="21">
        <v>0</v>
      </c>
      <c r="CD64" s="21">
        <v>0</v>
      </c>
      <c r="CE64" s="19">
        <v>0</v>
      </c>
      <c r="CF64" s="21">
        <v>0</v>
      </c>
      <c r="CG64" s="21">
        <f t="shared" si="159"/>
        <v>0</v>
      </c>
      <c r="CH64" s="21">
        <v>0</v>
      </c>
      <c r="CI64" s="21">
        <v>0</v>
      </c>
      <c r="CJ64" s="21">
        <v>0</v>
      </c>
      <c r="CK64" s="21">
        <v>0</v>
      </c>
      <c r="CL64" s="21">
        <v>66.161951702279993</v>
      </c>
      <c r="CM64" s="19">
        <v>0</v>
      </c>
      <c r="CN64" s="19">
        <v>0</v>
      </c>
      <c r="CO64" s="21">
        <f t="shared" si="149"/>
        <v>66.161951702279993</v>
      </c>
      <c r="CP64" s="21">
        <v>0</v>
      </c>
      <c r="CQ64" s="21">
        <f t="shared" si="163"/>
        <v>66.161951702279993</v>
      </c>
      <c r="CR64" s="21">
        <v>0</v>
      </c>
      <c r="CS64" s="21">
        <v>0</v>
      </c>
      <c r="CT64" s="21">
        <f t="shared" si="150"/>
        <v>66.161951702279993</v>
      </c>
      <c r="CU64" s="21">
        <v>0</v>
      </c>
      <c r="CV64" s="31" t="s">
        <v>130</v>
      </c>
    </row>
    <row r="65" spans="1:100" s="8" customFormat="1" ht="63" x14ac:dyDescent="0.25">
      <c r="A65" s="24" t="s">
        <v>126</v>
      </c>
      <c r="B65" s="20" t="s">
        <v>141</v>
      </c>
      <c r="C65" s="35" t="s">
        <v>179</v>
      </c>
      <c r="D65" s="16" t="s">
        <v>111</v>
      </c>
      <c r="E65" s="16">
        <v>2029</v>
      </c>
      <c r="F65" s="16">
        <v>2029</v>
      </c>
      <c r="G65" s="16">
        <v>2029</v>
      </c>
      <c r="H65" s="19">
        <f>5.10255498*1.2</f>
        <v>6.1230659759999995</v>
      </c>
      <c r="I65" s="19">
        <f>35.23496264*1.2</f>
        <v>42.281955167999996</v>
      </c>
      <c r="J65" s="22" t="s">
        <v>134</v>
      </c>
      <c r="K65" s="22">
        <f t="shared" si="160"/>
        <v>6.1230659759999995</v>
      </c>
      <c r="L65" s="22">
        <f t="shared" si="161"/>
        <v>42.281955167999996</v>
      </c>
      <c r="M65" s="22" t="str">
        <f t="shared" si="162"/>
        <v>ноябрь 2023 г.</v>
      </c>
      <c r="N65" s="16" t="s">
        <v>103</v>
      </c>
      <c r="O65" s="19">
        <v>0</v>
      </c>
      <c r="P65" s="19">
        <f>69201.40608/1000</f>
        <v>69.201406079999998</v>
      </c>
      <c r="Q65" s="19">
        <f>86816.6331935543/1000</f>
        <v>86.816633193554296</v>
      </c>
      <c r="R65" s="19">
        <f>69201.40608/1000</f>
        <v>69.201406079999998</v>
      </c>
      <c r="S65" s="19">
        <f>97518.7885351172/1000</f>
        <v>97.518788535117196</v>
      </c>
      <c r="T65" s="19">
        <f>CB65</f>
        <v>55.856208598560002</v>
      </c>
      <c r="U65" s="19">
        <f t="shared" si="164"/>
        <v>55.856208598560002</v>
      </c>
      <c r="V65" s="26">
        <f t="shared" si="136"/>
        <v>55.856208598560002</v>
      </c>
      <c r="W65" s="26">
        <f t="shared" si="165"/>
        <v>55.856208598560002</v>
      </c>
      <c r="X65" s="19">
        <f t="shared" si="151"/>
        <v>55.856208598560002</v>
      </c>
      <c r="Y65" s="19">
        <v>0</v>
      </c>
      <c r="Z65" s="19">
        <v>0</v>
      </c>
      <c r="AA65" s="19">
        <v>0</v>
      </c>
      <c r="AB65" s="19">
        <v>0</v>
      </c>
      <c r="AC65" s="19">
        <v>0</v>
      </c>
      <c r="AD65" s="19">
        <v>0</v>
      </c>
      <c r="AE65" s="19">
        <v>0</v>
      </c>
      <c r="AF65" s="19">
        <v>0</v>
      </c>
      <c r="AG65" s="19">
        <v>0</v>
      </c>
      <c r="AH65" s="19">
        <v>0</v>
      </c>
      <c r="AI65" s="19">
        <f t="shared" si="152"/>
        <v>0</v>
      </c>
      <c r="AJ65" s="19">
        <v>0</v>
      </c>
      <c r="AK65" s="19">
        <v>0</v>
      </c>
      <c r="AL65" s="19">
        <v>0</v>
      </c>
      <c r="AM65" s="19">
        <v>0</v>
      </c>
      <c r="AN65" s="19">
        <f>AQ65</f>
        <v>0</v>
      </c>
      <c r="AO65" s="19">
        <v>0</v>
      </c>
      <c r="AP65" s="19">
        <v>0</v>
      </c>
      <c r="AQ65" s="21">
        <v>0</v>
      </c>
      <c r="AR65" s="21">
        <v>0</v>
      </c>
      <c r="AS65" s="21">
        <f t="shared" si="153"/>
        <v>0</v>
      </c>
      <c r="AT65" s="21">
        <v>0</v>
      </c>
      <c r="AU65" s="21">
        <v>0</v>
      </c>
      <c r="AV65" s="21">
        <v>0</v>
      </c>
      <c r="AW65" s="21">
        <v>0</v>
      </c>
      <c r="AX65" s="21">
        <f>BA65</f>
        <v>0</v>
      </c>
      <c r="AY65" s="21">
        <v>0</v>
      </c>
      <c r="AZ65" s="21">
        <v>0</v>
      </c>
      <c r="BA65" s="21">
        <v>0</v>
      </c>
      <c r="BB65" s="19">
        <v>0</v>
      </c>
      <c r="BC65" s="21">
        <f t="shared" si="154"/>
        <v>0</v>
      </c>
      <c r="BD65" s="19">
        <v>0</v>
      </c>
      <c r="BE65" s="19">
        <v>0</v>
      </c>
      <c r="BF65" s="19">
        <v>0</v>
      </c>
      <c r="BG65" s="19">
        <v>0</v>
      </c>
      <c r="BH65" s="21">
        <f t="shared" si="155"/>
        <v>0</v>
      </c>
      <c r="BI65" s="21">
        <v>0</v>
      </c>
      <c r="BJ65" s="21">
        <v>0</v>
      </c>
      <c r="BK65" s="21">
        <v>0</v>
      </c>
      <c r="BL65" s="21">
        <v>0</v>
      </c>
      <c r="BM65" s="21">
        <f t="shared" si="156"/>
        <v>0</v>
      </c>
      <c r="BN65" s="21">
        <v>0</v>
      </c>
      <c r="BO65" s="21">
        <v>0</v>
      </c>
      <c r="BP65" s="21">
        <v>0</v>
      </c>
      <c r="BQ65" s="21">
        <v>0</v>
      </c>
      <c r="BR65" s="21">
        <v>0</v>
      </c>
      <c r="BS65" s="21">
        <v>0</v>
      </c>
      <c r="BT65" s="21">
        <v>0</v>
      </c>
      <c r="BU65" s="21">
        <v>0</v>
      </c>
      <c r="BV65" s="21">
        <v>0</v>
      </c>
      <c r="BW65" s="21">
        <f t="shared" si="158"/>
        <v>0</v>
      </c>
      <c r="BX65" s="21">
        <v>0</v>
      </c>
      <c r="BY65" s="21">
        <v>0</v>
      </c>
      <c r="BZ65" s="21">
        <v>0</v>
      </c>
      <c r="CA65" s="21">
        <v>0</v>
      </c>
      <c r="CB65" s="21">
        <f>CE65</f>
        <v>55.856208598560002</v>
      </c>
      <c r="CC65" s="21">
        <v>0</v>
      </c>
      <c r="CD65" s="21">
        <v>0</v>
      </c>
      <c r="CE65" s="21">
        <f>55856.20859856/1000</f>
        <v>55.856208598560002</v>
      </c>
      <c r="CF65" s="21">
        <v>0</v>
      </c>
      <c r="CG65" s="21">
        <f t="shared" si="159"/>
        <v>55.856208598560002</v>
      </c>
      <c r="CH65" s="21">
        <v>0</v>
      </c>
      <c r="CI65" s="21">
        <v>0</v>
      </c>
      <c r="CJ65" s="21">
        <f>CE65</f>
        <v>55.856208598560002</v>
      </c>
      <c r="CK65" s="21">
        <v>0</v>
      </c>
      <c r="CL65" s="21">
        <v>55.856208598560002</v>
      </c>
      <c r="CM65" s="19">
        <v>0</v>
      </c>
      <c r="CN65" s="19">
        <v>0</v>
      </c>
      <c r="CO65" s="21">
        <f t="shared" si="149"/>
        <v>55.856208598560002</v>
      </c>
      <c r="CP65" s="21">
        <v>0</v>
      </c>
      <c r="CQ65" s="21">
        <f t="shared" si="163"/>
        <v>55.856208598560002</v>
      </c>
      <c r="CR65" s="21">
        <v>0</v>
      </c>
      <c r="CS65" s="21">
        <v>0</v>
      </c>
      <c r="CT65" s="21">
        <f t="shared" si="150"/>
        <v>55.856208598560002</v>
      </c>
      <c r="CU65" s="21">
        <v>0</v>
      </c>
      <c r="CV65" s="31" t="s">
        <v>130</v>
      </c>
    </row>
    <row r="66" spans="1:100" s="8" customFormat="1" ht="63" x14ac:dyDescent="0.25">
      <c r="A66" s="24" t="s">
        <v>127</v>
      </c>
      <c r="B66" s="20" t="s">
        <v>142</v>
      </c>
      <c r="C66" s="35" t="s">
        <v>180</v>
      </c>
      <c r="D66" s="16" t="s">
        <v>111</v>
      </c>
      <c r="E66" s="16">
        <v>2029</v>
      </c>
      <c r="F66" s="16">
        <v>2029</v>
      </c>
      <c r="G66" s="16">
        <v>2029</v>
      </c>
      <c r="H66" s="19">
        <v>6.1230659759999995</v>
      </c>
      <c r="I66" s="19">
        <v>42.281955167999996</v>
      </c>
      <c r="J66" s="22" t="s">
        <v>134</v>
      </c>
      <c r="K66" s="22">
        <f t="shared" si="160"/>
        <v>6.1230659759999995</v>
      </c>
      <c r="L66" s="22">
        <f t="shared" si="161"/>
        <v>42.281955167999996</v>
      </c>
      <c r="M66" s="22" t="str">
        <f t="shared" si="162"/>
        <v>ноябрь 2023 г.</v>
      </c>
      <c r="N66" s="16" t="s">
        <v>103</v>
      </c>
      <c r="O66" s="19">
        <v>0</v>
      </c>
      <c r="P66" s="19">
        <f>69201.40608/1000</f>
        <v>69.201406079999998</v>
      </c>
      <c r="Q66" s="19">
        <f>86816.6331935543/1000</f>
        <v>86.816633193554296</v>
      </c>
      <c r="R66" s="19">
        <f>69201.40608/1000</f>
        <v>69.201406079999998</v>
      </c>
      <c r="S66" s="19">
        <f>97518.7885351172/1000</f>
        <v>97.518788535117196</v>
      </c>
      <c r="T66" s="19">
        <f>CB66</f>
        <v>55.856208598560002</v>
      </c>
      <c r="U66" s="19">
        <f t="shared" si="164"/>
        <v>55.856208598560002</v>
      </c>
      <c r="V66" s="26">
        <f t="shared" si="136"/>
        <v>55.856208598560002</v>
      </c>
      <c r="W66" s="26">
        <f t="shared" si="165"/>
        <v>55.856208598560002</v>
      </c>
      <c r="X66" s="19">
        <f t="shared" si="151"/>
        <v>55.856208598560002</v>
      </c>
      <c r="Y66" s="19">
        <v>0</v>
      </c>
      <c r="Z66" s="19">
        <v>0</v>
      </c>
      <c r="AA66" s="19">
        <v>0</v>
      </c>
      <c r="AB66" s="19">
        <v>0</v>
      </c>
      <c r="AC66" s="19">
        <v>0</v>
      </c>
      <c r="AD66" s="19">
        <v>0</v>
      </c>
      <c r="AE66" s="19">
        <v>0</v>
      </c>
      <c r="AF66" s="19">
        <v>0</v>
      </c>
      <c r="AG66" s="19">
        <v>0</v>
      </c>
      <c r="AH66" s="19">
        <v>0</v>
      </c>
      <c r="AI66" s="19">
        <f t="shared" si="152"/>
        <v>0</v>
      </c>
      <c r="AJ66" s="19">
        <v>0</v>
      </c>
      <c r="AK66" s="19">
        <v>0</v>
      </c>
      <c r="AL66" s="19">
        <v>0</v>
      </c>
      <c r="AM66" s="19">
        <v>0</v>
      </c>
      <c r="AN66" s="19">
        <f>AQ66</f>
        <v>0</v>
      </c>
      <c r="AO66" s="19">
        <v>0</v>
      </c>
      <c r="AP66" s="19">
        <v>0</v>
      </c>
      <c r="AQ66" s="21">
        <v>0</v>
      </c>
      <c r="AR66" s="21">
        <v>0</v>
      </c>
      <c r="AS66" s="21">
        <f t="shared" si="153"/>
        <v>0</v>
      </c>
      <c r="AT66" s="21">
        <v>0</v>
      </c>
      <c r="AU66" s="21">
        <v>0</v>
      </c>
      <c r="AV66" s="21">
        <v>0</v>
      </c>
      <c r="AW66" s="21">
        <v>0</v>
      </c>
      <c r="AX66" s="21">
        <v>0</v>
      </c>
      <c r="AY66" s="21">
        <v>0</v>
      </c>
      <c r="AZ66" s="21">
        <v>0</v>
      </c>
      <c r="BA66" s="21">
        <v>0</v>
      </c>
      <c r="BB66" s="21">
        <v>0</v>
      </c>
      <c r="BC66" s="21">
        <f t="shared" si="154"/>
        <v>0</v>
      </c>
      <c r="BD66" s="21">
        <v>0</v>
      </c>
      <c r="BE66" s="21">
        <v>0</v>
      </c>
      <c r="BF66" s="21">
        <v>0</v>
      </c>
      <c r="BG66" s="21">
        <v>0</v>
      </c>
      <c r="BH66" s="21">
        <f t="shared" si="155"/>
        <v>0</v>
      </c>
      <c r="BI66" s="21">
        <v>0</v>
      </c>
      <c r="BJ66" s="21">
        <v>0</v>
      </c>
      <c r="BK66" s="21">
        <v>0</v>
      </c>
      <c r="BL66" s="21">
        <v>0</v>
      </c>
      <c r="BM66" s="21">
        <f t="shared" si="156"/>
        <v>0</v>
      </c>
      <c r="BN66" s="21">
        <v>0</v>
      </c>
      <c r="BO66" s="21">
        <v>0</v>
      </c>
      <c r="BP66" s="21">
        <v>0</v>
      </c>
      <c r="BQ66" s="21">
        <v>0</v>
      </c>
      <c r="BR66" s="21">
        <v>0</v>
      </c>
      <c r="BS66" s="21">
        <v>0</v>
      </c>
      <c r="BT66" s="21">
        <v>0</v>
      </c>
      <c r="BU66" s="21">
        <v>0</v>
      </c>
      <c r="BV66" s="21">
        <v>0</v>
      </c>
      <c r="BW66" s="21">
        <f t="shared" si="158"/>
        <v>0</v>
      </c>
      <c r="BX66" s="21">
        <v>0</v>
      </c>
      <c r="BY66" s="21">
        <v>0</v>
      </c>
      <c r="BZ66" s="21">
        <v>0</v>
      </c>
      <c r="CA66" s="21">
        <v>0</v>
      </c>
      <c r="CB66" s="21">
        <f>CE66</f>
        <v>55.856208598560002</v>
      </c>
      <c r="CC66" s="21">
        <v>0</v>
      </c>
      <c r="CD66" s="21">
        <v>0</v>
      </c>
      <c r="CE66" s="21">
        <v>55.856208598560002</v>
      </c>
      <c r="CF66" s="21">
        <v>0</v>
      </c>
      <c r="CG66" s="21">
        <f t="shared" si="159"/>
        <v>55.856208598560002</v>
      </c>
      <c r="CH66" s="21">
        <v>0</v>
      </c>
      <c r="CI66" s="21">
        <v>0</v>
      </c>
      <c r="CJ66" s="21">
        <f>CE66</f>
        <v>55.856208598560002</v>
      </c>
      <c r="CK66" s="21">
        <v>0</v>
      </c>
      <c r="CL66" s="21">
        <v>55.856208598560002</v>
      </c>
      <c r="CM66" s="19">
        <f>CM88</f>
        <v>0</v>
      </c>
      <c r="CN66" s="19">
        <f>CN88</f>
        <v>0</v>
      </c>
      <c r="CO66" s="21">
        <f t="shared" si="149"/>
        <v>55.856208598560002</v>
      </c>
      <c r="CP66" s="21">
        <v>0</v>
      </c>
      <c r="CQ66" s="21">
        <f t="shared" si="163"/>
        <v>55.856208598560002</v>
      </c>
      <c r="CR66" s="21">
        <v>0</v>
      </c>
      <c r="CS66" s="21">
        <v>0</v>
      </c>
      <c r="CT66" s="21">
        <f t="shared" si="150"/>
        <v>55.856208598560002</v>
      </c>
      <c r="CU66" s="21">
        <v>0</v>
      </c>
      <c r="CV66" s="31" t="s">
        <v>130</v>
      </c>
    </row>
    <row r="67" spans="1:100" s="8" customFormat="1" ht="63" x14ac:dyDescent="0.25">
      <c r="A67" s="24" t="s">
        <v>199</v>
      </c>
      <c r="B67" s="20" t="s">
        <v>197</v>
      </c>
      <c r="C67" s="35" t="s">
        <v>198</v>
      </c>
      <c r="D67" s="16" t="s">
        <v>111</v>
      </c>
      <c r="E67" s="16">
        <v>2024</v>
      </c>
      <c r="F67" s="16">
        <v>2024</v>
      </c>
      <c r="G67" s="16">
        <v>2024</v>
      </c>
      <c r="H67" s="19">
        <v>7.9634900000000002</v>
      </c>
      <c r="I67" s="19">
        <v>59.835527489999997</v>
      </c>
      <c r="J67" s="22" t="s">
        <v>134</v>
      </c>
      <c r="K67" s="22">
        <v>8.7650415899999992</v>
      </c>
      <c r="L67" s="22">
        <f>AL67</f>
        <v>68.275739040000005</v>
      </c>
      <c r="M67" s="22" t="s">
        <v>103</v>
      </c>
      <c r="N67" s="16" t="s">
        <v>103</v>
      </c>
      <c r="O67" s="19">
        <v>0</v>
      </c>
      <c r="P67" s="19">
        <f>398697.74208/1000</f>
        <v>398.69774208000001</v>
      </c>
      <c r="Q67" s="19">
        <f>398697.74208/1000</f>
        <v>398.69774208000001</v>
      </c>
      <c r="R67" s="19">
        <f>398697.74208/1000</f>
        <v>398.69774208000001</v>
      </c>
      <c r="S67" s="19">
        <v>398.69774208000001</v>
      </c>
      <c r="T67" s="19">
        <v>63.006810451920003</v>
      </c>
      <c r="U67" s="19">
        <f t="shared" ref="U67:U75" si="168">Y67+CQ67</f>
        <v>68.275739040000005</v>
      </c>
      <c r="V67" s="26">
        <f t="shared" ref="V67:V85" si="169">T67</f>
        <v>63.006810451920003</v>
      </c>
      <c r="W67" s="26">
        <f t="shared" ref="W67:W81" si="170">T67-Y67-AD67</f>
        <v>0</v>
      </c>
      <c r="X67" s="19">
        <f t="shared" si="151"/>
        <v>0</v>
      </c>
      <c r="Y67" s="19">
        <v>0</v>
      </c>
      <c r="Z67" s="19">
        <v>0</v>
      </c>
      <c r="AA67" s="19">
        <v>0</v>
      </c>
      <c r="AB67" s="19">
        <v>0</v>
      </c>
      <c r="AC67" s="19">
        <v>0</v>
      </c>
      <c r="AD67" s="19">
        <f t="shared" ref="AD67:AD76" si="171">AG67</f>
        <v>63.006810451919996</v>
      </c>
      <c r="AE67" s="19">
        <v>0</v>
      </c>
      <c r="AF67" s="19">
        <v>0</v>
      </c>
      <c r="AG67" s="19">
        <v>63.006810451919996</v>
      </c>
      <c r="AH67" s="19">
        <v>0</v>
      </c>
      <c r="AI67" s="19">
        <f t="shared" si="152"/>
        <v>68.275739040000005</v>
      </c>
      <c r="AJ67" s="19">
        <v>0</v>
      </c>
      <c r="AK67" s="19">
        <v>0</v>
      </c>
      <c r="AL67" s="19">
        <v>68.275739040000005</v>
      </c>
      <c r="AM67" s="19">
        <v>0</v>
      </c>
      <c r="AN67" s="19">
        <v>0</v>
      </c>
      <c r="AO67" s="19">
        <v>0</v>
      </c>
      <c r="AP67" s="19">
        <v>0</v>
      </c>
      <c r="AQ67" s="19">
        <v>0</v>
      </c>
      <c r="AR67" s="19">
        <v>0</v>
      </c>
      <c r="AS67" s="21">
        <f t="shared" si="153"/>
        <v>0</v>
      </c>
      <c r="AT67" s="19">
        <v>0</v>
      </c>
      <c r="AU67" s="19">
        <v>0</v>
      </c>
      <c r="AV67" s="19">
        <v>0</v>
      </c>
      <c r="AW67" s="19">
        <v>0</v>
      </c>
      <c r="AX67" s="19">
        <v>0</v>
      </c>
      <c r="AY67" s="19">
        <v>0</v>
      </c>
      <c r="AZ67" s="19">
        <v>0</v>
      </c>
      <c r="BA67" s="19">
        <v>0</v>
      </c>
      <c r="BB67" s="19">
        <v>0</v>
      </c>
      <c r="BC67" s="21">
        <f t="shared" si="154"/>
        <v>0</v>
      </c>
      <c r="BD67" s="19">
        <v>0</v>
      </c>
      <c r="BE67" s="19">
        <v>0</v>
      </c>
      <c r="BF67" s="19">
        <v>0</v>
      </c>
      <c r="BG67" s="19">
        <v>0</v>
      </c>
      <c r="BH67" s="19">
        <v>0</v>
      </c>
      <c r="BI67" s="19">
        <v>0</v>
      </c>
      <c r="BJ67" s="19">
        <v>0</v>
      </c>
      <c r="BK67" s="19">
        <v>0</v>
      </c>
      <c r="BL67" s="19">
        <v>0</v>
      </c>
      <c r="BM67" s="21">
        <f t="shared" si="156"/>
        <v>0</v>
      </c>
      <c r="BN67" s="19">
        <v>0</v>
      </c>
      <c r="BO67" s="19">
        <v>0</v>
      </c>
      <c r="BP67" s="19">
        <v>0</v>
      </c>
      <c r="BQ67" s="19">
        <v>0</v>
      </c>
      <c r="BR67" s="19">
        <v>0</v>
      </c>
      <c r="BS67" s="19">
        <v>0</v>
      </c>
      <c r="BT67" s="19">
        <v>0</v>
      </c>
      <c r="BU67" s="19">
        <v>0</v>
      </c>
      <c r="BV67" s="19">
        <v>0</v>
      </c>
      <c r="BW67" s="21">
        <f t="shared" si="158"/>
        <v>0</v>
      </c>
      <c r="BX67" s="19">
        <v>0</v>
      </c>
      <c r="BY67" s="19">
        <v>0</v>
      </c>
      <c r="BZ67" s="19">
        <v>0</v>
      </c>
      <c r="CA67" s="19">
        <v>0</v>
      </c>
      <c r="CB67" s="19">
        <v>0</v>
      </c>
      <c r="CC67" s="19">
        <v>0</v>
      </c>
      <c r="CD67" s="19">
        <v>0</v>
      </c>
      <c r="CE67" s="19">
        <v>0</v>
      </c>
      <c r="CF67" s="19">
        <v>0</v>
      </c>
      <c r="CG67" s="21">
        <f t="shared" si="159"/>
        <v>0</v>
      </c>
      <c r="CH67" s="19">
        <v>0</v>
      </c>
      <c r="CI67" s="19">
        <v>0</v>
      </c>
      <c r="CJ67" s="19">
        <v>0</v>
      </c>
      <c r="CK67" s="19">
        <v>0</v>
      </c>
      <c r="CL67" s="21">
        <v>63.006810451919996</v>
      </c>
      <c r="CM67" s="19">
        <v>0</v>
      </c>
      <c r="CN67" s="19">
        <v>0</v>
      </c>
      <c r="CO67" s="21">
        <f t="shared" si="149"/>
        <v>63.006810451919996</v>
      </c>
      <c r="CP67" s="19">
        <v>0</v>
      </c>
      <c r="CQ67" s="21">
        <f t="shared" si="163"/>
        <v>68.275739040000005</v>
      </c>
      <c r="CR67" s="19">
        <v>0</v>
      </c>
      <c r="CS67" s="19">
        <v>0</v>
      </c>
      <c r="CT67" s="21">
        <f t="shared" si="150"/>
        <v>68.275739040000005</v>
      </c>
      <c r="CU67" s="19">
        <v>0</v>
      </c>
      <c r="CV67" s="32" t="s">
        <v>130</v>
      </c>
    </row>
    <row r="68" spans="1:100" s="8" customFormat="1" ht="94.5" x14ac:dyDescent="0.25">
      <c r="A68" s="24" t="s">
        <v>200</v>
      </c>
      <c r="B68" s="20" t="s">
        <v>218</v>
      </c>
      <c r="C68" s="35" t="s">
        <v>223</v>
      </c>
      <c r="D68" s="16" t="s">
        <v>111</v>
      </c>
      <c r="E68" s="16">
        <v>2023</v>
      </c>
      <c r="F68" s="16">
        <v>2024</v>
      </c>
      <c r="G68" s="16">
        <v>2024</v>
      </c>
      <c r="H68" s="19">
        <v>0.45892976000000002</v>
      </c>
      <c r="I68" s="19">
        <v>4.7041290399999998</v>
      </c>
      <c r="J68" s="22" t="s">
        <v>134</v>
      </c>
      <c r="K68" s="22">
        <v>0.42160154999999999</v>
      </c>
      <c r="L68" s="22">
        <f>AL68</f>
        <v>4.6265899800000003</v>
      </c>
      <c r="M68" s="22" t="s">
        <v>103</v>
      </c>
      <c r="N68" s="16" t="s">
        <v>103</v>
      </c>
      <c r="O68" s="19">
        <v>0</v>
      </c>
      <c r="P68" s="19">
        <f>81966.44208/1000</f>
        <v>81.966442079999993</v>
      </c>
      <c r="Q68" s="19">
        <f>81966.44208/1000</f>
        <v>81.966442079999993</v>
      </c>
      <c r="R68" s="19">
        <f>81966.44208/1000</f>
        <v>81.966442079999993</v>
      </c>
      <c r="S68" s="19">
        <v>81.966442079999993</v>
      </c>
      <c r="T68" s="19">
        <f>Y68+AD68+AN68+AX68++BH68+BR68+CB68</f>
        <v>4.9343671260000006</v>
      </c>
      <c r="U68" s="19">
        <f t="shared" si="168"/>
        <v>4.9865899800000006</v>
      </c>
      <c r="V68" s="26">
        <f t="shared" si="169"/>
        <v>4.9343671260000006</v>
      </c>
      <c r="W68" s="26">
        <f t="shared" si="170"/>
        <v>0</v>
      </c>
      <c r="X68" s="19">
        <f t="shared" si="151"/>
        <v>0</v>
      </c>
      <c r="Y68" s="19">
        <f>AB68</f>
        <v>0.36</v>
      </c>
      <c r="Z68" s="19">
        <v>0</v>
      </c>
      <c r="AA68" s="19">
        <v>0</v>
      </c>
      <c r="AB68" s="19">
        <v>0.36</v>
      </c>
      <c r="AC68" s="19">
        <v>0</v>
      </c>
      <c r="AD68" s="19">
        <f t="shared" si="171"/>
        <v>4.5743671260000003</v>
      </c>
      <c r="AE68" s="19">
        <v>0</v>
      </c>
      <c r="AF68" s="19">
        <v>0</v>
      </c>
      <c r="AG68" s="19">
        <v>4.5743671260000003</v>
      </c>
      <c r="AH68" s="19">
        <v>0</v>
      </c>
      <c r="AI68" s="19">
        <f t="shared" si="152"/>
        <v>4.6265899800000003</v>
      </c>
      <c r="AJ68" s="19">
        <v>0</v>
      </c>
      <c r="AK68" s="19">
        <v>0</v>
      </c>
      <c r="AL68" s="19">
        <v>4.6265899800000003</v>
      </c>
      <c r="AM68" s="19">
        <v>0</v>
      </c>
      <c r="AN68" s="19">
        <v>0</v>
      </c>
      <c r="AO68" s="19">
        <v>0</v>
      </c>
      <c r="AP68" s="19">
        <v>0</v>
      </c>
      <c r="AQ68" s="19">
        <v>0</v>
      </c>
      <c r="AR68" s="19">
        <v>0</v>
      </c>
      <c r="AS68" s="21">
        <f t="shared" si="153"/>
        <v>0</v>
      </c>
      <c r="AT68" s="19">
        <v>0</v>
      </c>
      <c r="AU68" s="19">
        <v>0</v>
      </c>
      <c r="AV68" s="19">
        <v>0</v>
      </c>
      <c r="AW68" s="19">
        <v>0</v>
      </c>
      <c r="AX68" s="19">
        <v>0</v>
      </c>
      <c r="AY68" s="19">
        <v>0</v>
      </c>
      <c r="AZ68" s="19">
        <v>0</v>
      </c>
      <c r="BA68" s="19">
        <v>0</v>
      </c>
      <c r="BB68" s="19">
        <v>0</v>
      </c>
      <c r="BC68" s="21">
        <f t="shared" si="154"/>
        <v>0</v>
      </c>
      <c r="BD68" s="19">
        <v>0</v>
      </c>
      <c r="BE68" s="19">
        <v>0</v>
      </c>
      <c r="BF68" s="19">
        <v>0</v>
      </c>
      <c r="BG68" s="19">
        <v>0</v>
      </c>
      <c r="BH68" s="19">
        <v>0</v>
      </c>
      <c r="BI68" s="19">
        <v>0</v>
      </c>
      <c r="BJ68" s="19">
        <v>0</v>
      </c>
      <c r="BK68" s="19">
        <v>0</v>
      </c>
      <c r="BL68" s="19">
        <v>0</v>
      </c>
      <c r="BM68" s="21">
        <f t="shared" si="156"/>
        <v>0</v>
      </c>
      <c r="BN68" s="19">
        <v>0</v>
      </c>
      <c r="BO68" s="19">
        <v>0</v>
      </c>
      <c r="BP68" s="19">
        <v>0</v>
      </c>
      <c r="BQ68" s="19">
        <v>0</v>
      </c>
      <c r="BR68" s="19">
        <v>0</v>
      </c>
      <c r="BS68" s="19">
        <v>0</v>
      </c>
      <c r="BT68" s="19">
        <v>0</v>
      </c>
      <c r="BU68" s="19">
        <v>0</v>
      </c>
      <c r="BV68" s="19">
        <v>0</v>
      </c>
      <c r="BW68" s="21">
        <f>SUM(BX68:CA68)</f>
        <v>0</v>
      </c>
      <c r="BX68" s="19">
        <v>0</v>
      </c>
      <c r="BY68" s="19">
        <v>0</v>
      </c>
      <c r="BZ68" s="19">
        <v>0</v>
      </c>
      <c r="CA68" s="19">
        <v>0</v>
      </c>
      <c r="CB68" s="19">
        <v>0</v>
      </c>
      <c r="CC68" s="19">
        <v>0</v>
      </c>
      <c r="CD68" s="19">
        <v>0</v>
      </c>
      <c r="CE68" s="19">
        <v>0</v>
      </c>
      <c r="CF68" s="19">
        <v>0</v>
      </c>
      <c r="CG68" s="21">
        <f t="shared" si="159"/>
        <v>0</v>
      </c>
      <c r="CH68" s="19">
        <v>0</v>
      </c>
      <c r="CI68" s="19">
        <v>0</v>
      </c>
      <c r="CJ68" s="19">
        <v>0</v>
      </c>
      <c r="CK68" s="19">
        <v>0</v>
      </c>
      <c r="CL68" s="21">
        <v>4.5743671260000003</v>
      </c>
      <c r="CM68" s="19">
        <v>0</v>
      </c>
      <c r="CN68" s="19">
        <v>0</v>
      </c>
      <c r="CO68" s="21">
        <f t="shared" si="149"/>
        <v>4.5743671260000003</v>
      </c>
      <c r="CP68" s="19">
        <v>0</v>
      </c>
      <c r="CQ68" s="21">
        <f t="shared" si="163"/>
        <v>4.6265899800000003</v>
      </c>
      <c r="CR68" s="19">
        <v>0</v>
      </c>
      <c r="CS68" s="19">
        <v>0</v>
      </c>
      <c r="CT68" s="21">
        <f t="shared" si="150"/>
        <v>4.6265899800000003</v>
      </c>
      <c r="CU68" s="19">
        <v>0</v>
      </c>
      <c r="CV68" s="32" t="s">
        <v>130</v>
      </c>
    </row>
    <row r="69" spans="1:100" s="8" customFormat="1" ht="63" x14ac:dyDescent="0.25">
      <c r="A69" s="24" t="s">
        <v>201</v>
      </c>
      <c r="B69" s="20" t="s">
        <v>219</v>
      </c>
      <c r="C69" s="35" t="s">
        <v>222</v>
      </c>
      <c r="D69" s="16" t="s">
        <v>111</v>
      </c>
      <c r="E69" s="16">
        <v>2022</v>
      </c>
      <c r="F69" s="16">
        <v>2024</v>
      </c>
      <c r="G69" s="16">
        <v>2024</v>
      </c>
      <c r="H69" s="19">
        <v>5.0890668999999997</v>
      </c>
      <c r="I69" s="19">
        <v>36.7053996</v>
      </c>
      <c r="J69" s="22" t="s">
        <v>134</v>
      </c>
      <c r="K69" s="22">
        <v>6.0201751799999998</v>
      </c>
      <c r="L69" s="22">
        <f>AL69</f>
        <v>41.402474939999998</v>
      </c>
      <c r="M69" s="22" t="s">
        <v>103</v>
      </c>
      <c r="N69" s="16" t="s">
        <v>103</v>
      </c>
      <c r="O69" s="19">
        <v>1.32</v>
      </c>
      <c r="P69" s="19">
        <f>185330.592/1000</f>
        <v>185.330592</v>
      </c>
      <c r="Q69" s="19">
        <f>185330.592/1000</f>
        <v>185.330592</v>
      </c>
      <c r="R69" s="19">
        <f>185330.592/1000</f>
        <v>185.330592</v>
      </c>
      <c r="S69" s="19">
        <v>185.330592</v>
      </c>
      <c r="T69" s="19">
        <f t="shared" ref="T69:T80" si="172">O69+CL69</f>
        <v>41.002779263999997</v>
      </c>
      <c r="U69" s="19">
        <f t="shared" si="168"/>
        <v>41.402474939999998</v>
      </c>
      <c r="V69" s="26">
        <f t="shared" si="169"/>
        <v>41.002779263999997</v>
      </c>
      <c r="W69" s="26">
        <f t="shared" si="170"/>
        <v>1.3200000000000003</v>
      </c>
      <c r="X69" s="19">
        <f t="shared" si="151"/>
        <v>0</v>
      </c>
      <c r="Y69" s="19">
        <v>0</v>
      </c>
      <c r="Z69" s="19">
        <v>0</v>
      </c>
      <c r="AA69" s="19">
        <v>0</v>
      </c>
      <c r="AB69" s="19">
        <v>0</v>
      </c>
      <c r="AC69" s="19">
        <v>0</v>
      </c>
      <c r="AD69" s="19">
        <f t="shared" si="171"/>
        <v>39.682779263999997</v>
      </c>
      <c r="AE69" s="19">
        <v>0</v>
      </c>
      <c r="AF69" s="19">
        <v>0</v>
      </c>
      <c r="AG69" s="19">
        <v>39.682779263999997</v>
      </c>
      <c r="AH69" s="19">
        <v>0</v>
      </c>
      <c r="AI69" s="19">
        <f t="shared" si="152"/>
        <v>41.402474939999998</v>
      </c>
      <c r="AJ69" s="19">
        <v>0</v>
      </c>
      <c r="AK69" s="19">
        <v>0</v>
      </c>
      <c r="AL69" s="19">
        <v>41.402474939999998</v>
      </c>
      <c r="AM69" s="19">
        <v>0</v>
      </c>
      <c r="AN69" s="19">
        <v>0</v>
      </c>
      <c r="AO69" s="19">
        <v>0</v>
      </c>
      <c r="AP69" s="19">
        <v>0</v>
      </c>
      <c r="AQ69" s="19">
        <v>0</v>
      </c>
      <c r="AR69" s="19">
        <v>0</v>
      </c>
      <c r="AS69" s="21">
        <f t="shared" si="153"/>
        <v>0</v>
      </c>
      <c r="AT69" s="19">
        <v>0</v>
      </c>
      <c r="AU69" s="19">
        <v>0</v>
      </c>
      <c r="AV69" s="19">
        <v>0</v>
      </c>
      <c r="AW69" s="19">
        <v>0</v>
      </c>
      <c r="AX69" s="19">
        <v>0</v>
      </c>
      <c r="AY69" s="19">
        <v>0</v>
      </c>
      <c r="AZ69" s="19">
        <v>0</v>
      </c>
      <c r="BA69" s="19">
        <v>0</v>
      </c>
      <c r="BB69" s="19">
        <v>0</v>
      </c>
      <c r="BC69" s="21">
        <f t="shared" si="154"/>
        <v>0</v>
      </c>
      <c r="BD69" s="19">
        <v>0</v>
      </c>
      <c r="BE69" s="19">
        <v>0</v>
      </c>
      <c r="BF69" s="19">
        <v>0</v>
      </c>
      <c r="BG69" s="19">
        <v>0</v>
      </c>
      <c r="BH69" s="19">
        <v>0</v>
      </c>
      <c r="BI69" s="19">
        <v>0</v>
      </c>
      <c r="BJ69" s="19">
        <v>0</v>
      </c>
      <c r="BK69" s="19">
        <v>0</v>
      </c>
      <c r="BL69" s="19">
        <v>0</v>
      </c>
      <c r="BM69" s="21">
        <f t="shared" si="156"/>
        <v>0</v>
      </c>
      <c r="BN69" s="19">
        <v>0</v>
      </c>
      <c r="BO69" s="19">
        <v>0</v>
      </c>
      <c r="BP69" s="19">
        <v>0</v>
      </c>
      <c r="BQ69" s="19">
        <v>0</v>
      </c>
      <c r="BR69" s="19">
        <v>0</v>
      </c>
      <c r="BS69" s="19">
        <v>0</v>
      </c>
      <c r="BT69" s="19">
        <v>0</v>
      </c>
      <c r="BU69" s="19">
        <v>0</v>
      </c>
      <c r="BV69" s="19">
        <v>0</v>
      </c>
      <c r="BW69" s="21">
        <f t="shared" si="158"/>
        <v>0</v>
      </c>
      <c r="BX69" s="19">
        <v>0</v>
      </c>
      <c r="BY69" s="19">
        <v>0</v>
      </c>
      <c r="BZ69" s="19">
        <v>0</v>
      </c>
      <c r="CA69" s="19">
        <v>0</v>
      </c>
      <c r="CB69" s="19">
        <v>0</v>
      </c>
      <c r="CC69" s="19">
        <v>0</v>
      </c>
      <c r="CD69" s="19">
        <v>0</v>
      </c>
      <c r="CE69" s="19">
        <v>0</v>
      </c>
      <c r="CF69" s="19">
        <v>0</v>
      </c>
      <c r="CG69" s="21">
        <f t="shared" si="159"/>
        <v>0</v>
      </c>
      <c r="CH69" s="19">
        <v>0</v>
      </c>
      <c r="CI69" s="19">
        <v>0</v>
      </c>
      <c r="CJ69" s="19">
        <v>0</v>
      </c>
      <c r="CK69" s="19">
        <v>0</v>
      </c>
      <c r="CL69" s="21">
        <v>39.682779263999997</v>
      </c>
      <c r="CM69" s="19">
        <v>0</v>
      </c>
      <c r="CN69" s="19">
        <v>0</v>
      </c>
      <c r="CO69" s="21">
        <f t="shared" si="149"/>
        <v>39.682779263999997</v>
      </c>
      <c r="CP69" s="19">
        <v>0</v>
      </c>
      <c r="CQ69" s="21">
        <f t="shared" si="163"/>
        <v>41.402474939999998</v>
      </c>
      <c r="CR69" s="19">
        <v>0</v>
      </c>
      <c r="CS69" s="19">
        <v>0</v>
      </c>
      <c r="CT69" s="21">
        <f t="shared" si="150"/>
        <v>41.402474939999998</v>
      </c>
      <c r="CU69" s="19">
        <v>0</v>
      </c>
      <c r="CV69" s="32" t="s">
        <v>130</v>
      </c>
    </row>
    <row r="70" spans="1:100" s="8" customFormat="1" ht="63" x14ac:dyDescent="0.25">
      <c r="A70" s="24" t="s">
        <v>202</v>
      </c>
      <c r="B70" s="20" t="s">
        <v>208</v>
      </c>
      <c r="C70" s="35" t="s">
        <v>214</v>
      </c>
      <c r="D70" s="16" t="s">
        <v>111</v>
      </c>
      <c r="E70" s="16">
        <v>2024</v>
      </c>
      <c r="F70" s="16">
        <v>2024</v>
      </c>
      <c r="G70" s="16">
        <v>2024</v>
      </c>
      <c r="H70" s="19">
        <v>0.11044180000000001</v>
      </c>
      <c r="I70" s="19">
        <f>0.70085094*1.2</f>
        <v>0.84102112800000006</v>
      </c>
      <c r="J70" s="22" t="s">
        <v>134</v>
      </c>
      <c r="K70" s="22">
        <v>0.11906837000000001</v>
      </c>
      <c r="L70" s="22">
        <f t="shared" ref="L70:L75" si="173">AL70</f>
        <v>0.94621785599999997</v>
      </c>
      <c r="M70" s="22" t="s">
        <v>103</v>
      </c>
      <c r="N70" s="16" t="s">
        <v>103</v>
      </c>
      <c r="O70" s="19">
        <v>0</v>
      </c>
      <c r="P70" s="19">
        <f>2180.83572/1000</f>
        <v>2.1808357200000001</v>
      </c>
      <c r="Q70" s="19">
        <f>2180.83572/1000</f>
        <v>2.1808357200000001</v>
      </c>
      <c r="R70" s="19">
        <f>2180.83572/1000</f>
        <v>2.1808357200000001</v>
      </c>
      <c r="S70" s="19">
        <v>2.1808357200000001</v>
      </c>
      <c r="T70" s="19">
        <f t="shared" si="172"/>
        <v>0.88559521199999991</v>
      </c>
      <c r="U70" s="19">
        <f t="shared" si="168"/>
        <v>0.94621785599999997</v>
      </c>
      <c r="V70" s="26">
        <f t="shared" si="169"/>
        <v>0.88559521199999991</v>
      </c>
      <c r="W70" s="26">
        <f t="shared" si="170"/>
        <v>0</v>
      </c>
      <c r="X70" s="19">
        <f t="shared" si="151"/>
        <v>0</v>
      </c>
      <c r="Y70" s="19">
        <v>0</v>
      </c>
      <c r="Z70" s="19">
        <v>0</v>
      </c>
      <c r="AA70" s="19">
        <v>0</v>
      </c>
      <c r="AB70" s="19">
        <v>0</v>
      </c>
      <c r="AC70" s="19">
        <v>0</v>
      </c>
      <c r="AD70" s="19">
        <f t="shared" si="171"/>
        <v>0.88559521199999991</v>
      </c>
      <c r="AE70" s="19">
        <v>0</v>
      </c>
      <c r="AF70" s="19">
        <v>0</v>
      </c>
      <c r="AG70" s="19">
        <f>885.595212/1000</f>
        <v>0.88559521199999991</v>
      </c>
      <c r="AH70" s="19">
        <v>0</v>
      </c>
      <c r="AI70" s="19">
        <f t="shared" si="152"/>
        <v>0.94621785599999997</v>
      </c>
      <c r="AJ70" s="19">
        <v>0</v>
      </c>
      <c r="AK70" s="19">
        <v>0</v>
      </c>
      <c r="AL70" s="19">
        <v>0.94621785599999997</v>
      </c>
      <c r="AM70" s="19">
        <v>0</v>
      </c>
      <c r="AN70" s="19">
        <v>0</v>
      </c>
      <c r="AO70" s="19">
        <v>0</v>
      </c>
      <c r="AP70" s="19">
        <v>0</v>
      </c>
      <c r="AQ70" s="19">
        <v>0</v>
      </c>
      <c r="AR70" s="19">
        <v>0</v>
      </c>
      <c r="AS70" s="21">
        <f t="shared" si="153"/>
        <v>0</v>
      </c>
      <c r="AT70" s="19">
        <v>0</v>
      </c>
      <c r="AU70" s="19">
        <v>0</v>
      </c>
      <c r="AV70" s="19">
        <v>0</v>
      </c>
      <c r="AW70" s="19">
        <v>0</v>
      </c>
      <c r="AX70" s="19">
        <v>0</v>
      </c>
      <c r="AY70" s="19">
        <v>0</v>
      </c>
      <c r="AZ70" s="19">
        <v>0</v>
      </c>
      <c r="BA70" s="19">
        <v>0</v>
      </c>
      <c r="BB70" s="19">
        <v>0</v>
      </c>
      <c r="BC70" s="21">
        <f t="shared" si="154"/>
        <v>0</v>
      </c>
      <c r="BD70" s="19">
        <v>0</v>
      </c>
      <c r="BE70" s="19">
        <v>0</v>
      </c>
      <c r="BF70" s="19">
        <v>0</v>
      </c>
      <c r="BG70" s="19">
        <v>0</v>
      </c>
      <c r="BH70" s="19">
        <v>0</v>
      </c>
      <c r="BI70" s="19">
        <v>0</v>
      </c>
      <c r="BJ70" s="19">
        <v>0</v>
      </c>
      <c r="BK70" s="19">
        <v>0</v>
      </c>
      <c r="BL70" s="19">
        <v>0</v>
      </c>
      <c r="BM70" s="21">
        <f t="shared" si="156"/>
        <v>0</v>
      </c>
      <c r="BN70" s="19">
        <v>0</v>
      </c>
      <c r="BO70" s="19">
        <v>0</v>
      </c>
      <c r="BP70" s="19">
        <v>0</v>
      </c>
      <c r="BQ70" s="19">
        <v>0</v>
      </c>
      <c r="BR70" s="19">
        <v>0</v>
      </c>
      <c r="BS70" s="19">
        <v>0</v>
      </c>
      <c r="BT70" s="19">
        <v>0</v>
      </c>
      <c r="BU70" s="19">
        <v>0</v>
      </c>
      <c r="BV70" s="19">
        <v>0</v>
      </c>
      <c r="BW70" s="21">
        <f t="shared" si="158"/>
        <v>0</v>
      </c>
      <c r="BX70" s="19">
        <v>0</v>
      </c>
      <c r="BY70" s="19">
        <v>0</v>
      </c>
      <c r="BZ70" s="19">
        <v>0</v>
      </c>
      <c r="CA70" s="19">
        <v>0</v>
      </c>
      <c r="CB70" s="19">
        <v>0</v>
      </c>
      <c r="CC70" s="19">
        <v>0</v>
      </c>
      <c r="CD70" s="19">
        <v>0</v>
      </c>
      <c r="CE70" s="19">
        <v>0</v>
      </c>
      <c r="CF70" s="19">
        <v>0</v>
      </c>
      <c r="CG70" s="21">
        <f t="shared" si="159"/>
        <v>0</v>
      </c>
      <c r="CH70" s="19">
        <v>0</v>
      </c>
      <c r="CI70" s="19">
        <v>0</v>
      </c>
      <c r="CJ70" s="19">
        <v>0</v>
      </c>
      <c r="CK70" s="19">
        <v>0</v>
      </c>
      <c r="CL70" s="21">
        <v>0.88559521199999991</v>
      </c>
      <c r="CM70" s="19">
        <v>0</v>
      </c>
      <c r="CN70" s="19">
        <v>0</v>
      </c>
      <c r="CO70" s="21">
        <f t="shared" si="149"/>
        <v>0.88559521199999991</v>
      </c>
      <c r="CP70" s="19">
        <v>0</v>
      </c>
      <c r="CQ70" s="21">
        <f t="shared" si="163"/>
        <v>0.94621785599999997</v>
      </c>
      <c r="CR70" s="19">
        <v>0</v>
      </c>
      <c r="CS70" s="19">
        <v>0</v>
      </c>
      <c r="CT70" s="21">
        <f t="shared" si="150"/>
        <v>0.94621785599999997</v>
      </c>
      <c r="CU70" s="19">
        <v>0</v>
      </c>
      <c r="CV70" s="32" t="s">
        <v>130</v>
      </c>
    </row>
    <row r="71" spans="1:100" s="8" customFormat="1" ht="63" x14ac:dyDescent="0.25">
      <c r="A71" s="24" t="s">
        <v>203</v>
      </c>
      <c r="B71" s="20" t="s">
        <v>209</v>
      </c>
      <c r="C71" s="35" t="s">
        <v>215</v>
      </c>
      <c r="D71" s="16" t="s">
        <v>111</v>
      </c>
      <c r="E71" s="16">
        <v>2024</v>
      </c>
      <c r="F71" s="16">
        <v>2024</v>
      </c>
      <c r="G71" s="16">
        <v>2024</v>
      </c>
      <c r="H71" s="19">
        <v>0.19083348</v>
      </c>
      <c r="I71" s="19">
        <v>1.37641495</v>
      </c>
      <c r="J71" s="22" t="s">
        <v>134</v>
      </c>
      <c r="K71" s="22">
        <v>0.19947075</v>
      </c>
      <c r="L71" s="22">
        <f t="shared" si="173"/>
        <v>1.480655652</v>
      </c>
      <c r="M71" s="22" t="s">
        <v>103</v>
      </c>
      <c r="N71" s="16" t="s">
        <v>103</v>
      </c>
      <c r="O71" s="19">
        <v>0</v>
      </c>
      <c r="P71" s="19">
        <f t="shared" ref="P71:R72" si="174">2264.96196/1000</f>
        <v>2.2649619599999999</v>
      </c>
      <c r="Q71" s="19">
        <f t="shared" si="174"/>
        <v>2.2649619599999999</v>
      </c>
      <c r="R71" s="19">
        <f t="shared" si="174"/>
        <v>2.2649619599999999</v>
      </c>
      <c r="S71" s="19">
        <v>2.2649619599999999</v>
      </c>
      <c r="T71" s="19">
        <f t="shared" si="172"/>
        <v>1.4493644640000001</v>
      </c>
      <c r="U71" s="19">
        <f t="shared" si="168"/>
        <v>1.480655652</v>
      </c>
      <c r="V71" s="26">
        <f t="shared" si="169"/>
        <v>1.4493644640000001</v>
      </c>
      <c r="W71" s="26">
        <f t="shared" si="170"/>
        <v>0</v>
      </c>
      <c r="X71" s="19">
        <f t="shared" si="151"/>
        <v>0</v>
      </c>
      <c r="Y71" s="19">
        <v>0</v>
      </c>
      <c r="Z71" s="19">
        <v>0</v>
      </c>
      <c r="AA71" s="19">
        <v>0</v>
      </c>
      <c r="AB71" s="19">
        <v>0</v>
      </c>
      <c r="AC71" s="19">
        <v>0</v>
      </c>
      <c r="AD71" s="19">
        <f t="shared" si="171"/>
        <v>1.4493644640000001</v>
      </c>
      <c r="AE71" s="19">
        <v>0</v>
      </c>
      <c r="AF71" s="19">
        <v>0</v>
      </c>
      <c r="AG71" s="19">
        <f>1449.364464/1000</f>
        <v>1.4493644640000001</v>
      </c>
      <c r="AH71" s="19">
        <v>0</v>
      </c>
      <c r="AI71" s="19">
        <f t="shared" si="152"/>
        <v>1.480655652</v>
      </c>
      <c r="AJ71" s="19">
        <v>0</v>
      </c>
      <c r="AK71" s="19">
        <v>0</v>
      </c>
      <c r="AL71" s="19">
        <v>1.480655652</v>
      </c>
      <c r="AM71" s="19">
        <v>0</v>
      </c>
      <c r="AN71" s="19">
        <v>0</v>
      </c>
      <c r="AO71" s="19">
        <v>0</v>
      </c>
      <c r="AP71" s="19">
        <v>0</v>
      </c>
      <c r="AQ71" s="19">
        <v>0</v>
      </c>
      <c r="AR71" s="19">
        <v>0</v>
      </c>
      <c r="AS71" s="21">
        <f t="shared" si="153"/>
        <v>0</v>
      </c>
      <c r="AT71" s="19">
        <v>0</v>
      </c>
      <c r="AU71" s="19">
        <v>0</v>
      </c>
      <c r="AV71" s="19">
        <v>0</v>
      </c>
      <c r="AW71" s="19">
        <v>0</v>
      </c>
      <c r="AX71" s="19">
        <v>0</v>
      </c>
      <c r="AY71" s="19">
        <v>0</v>
      </c>
      <c r="AZ71" s="19">
        <v>0</v>
      </c>
      <c r="BA71" s="19">
        <v>0</v>
      </c>
      <c r="BB71" s="19">
        <v>0</v>
      </c>
      <c r="BC71" s="21">
        <f t="shared" si="154"/>
        <v>0</v>
      </c>
      <c r="BD71" s="19">
        <v>0</v>
      </c>
      <c r="BE71" s="19">
        <v>0</v>
      </c>
      <c r="BF71" s="19">
        <v>0</v>
      </c>
      <c r="BG71" s="19">
        <v>0</v>
      </c>
      <c r="BH71" s="19">
        <v>0</v>
      </c>
      <c r="BI71" s="19">
        <v>0</v>
      </c>
      <c r="BJ71" s="19">
        <v>0</v>
      </c>
      <c r="BK71" s="19">
        <v>0</v>
      </c>
      <c r="BL71" s="19">
        <v>0</v>
      </c>
      <c r="BM71" s="21">
        <f t="shared" si="156"/>
        <v>0</v>
      </c>
      <c r="BN71" s="19">
        <v>0</v>
      </c>
      <c r="BO71" s="19">
        <v>0</v>
      </c>
      <c r="BP71" s="19">
        <v>0</v>
      </c>
      <c r="BQ71" s="19">
        <v>0</v>
      </c>
      <c r="BR71" s="19">
        <v>0</v>
      </c>
      <c r="BS71" s="19">
        <v>0</v>
      </c>
      <c r="BT71" s="19">
        <v>0</v>
      </c>
      <c r="BU71" s="19">
        <v>0</v>
      </c>
      <c r="BV71" s="19">
        <v>0</v>
      </c>
      <c r="BW71" s="21">
        <f>SUM(BX71:CA71)</f>
        <v>0</v>
      </c>
      <c r="BX71" s="19">
        <v>0</v>
      </c>
      <c r="BY71" s="19">
        <v>0</v>
      </c>
      <c r="BZ71" s="19">
        <v>0</v>
      </c>
      <c r="CA71" s="19">
        <v>0</v>
      </c>
      <c r="CB71" s="19">
        <v>0</v>
      </c>
      <c r="CC71" s="19">
        <v>0</v>
      </c>
      <c r="CD71" s="19">
        <v>0</v>
      </c>
      <c r="CE71" s="19">
        <v>0</v>
      </c>
      <c r="CF71" s="19">
        <v>0</v>
      </c>
      <c r="CG71" s="21">
        <f t="shared" si="159"/>
        <v>0</v>
      </c>
      <c r="CH71" s="19">
        <v>0</v>
      </c>
      <c r="CI71" s="19">
        <v>0</v>
      </c>
      <c r="CJ71" s="19">
        <v>0</v>
      </c>
      <c r="CK71" s="19">
        <v>0</v>
      </c>
      <c r="CL71" s="21">
        <v>1.4493644640000001</v>
      </c>
      <c r="CM71" s="19">
        <v>0</v>
      </c>
      <c r="CN71" s="19">
        <v>0</v>
      </c>
      <c r="CO71" s="21">
        <f t="shared" si="149"/>
        <v>1.4493644640000001</v>
      </c>
      <c r="CP71" s="19">
        <v>0</v>
      </c>
      <c r="CQ71" s="21">
        <f t="shared" si="163"/>
        <v>1.480655652</v>
      </c>
      <c r="CR71" s="19">
        <v>0</v>
      </c>
      <c r="CS71" s="19">
        <v>0</v>
      </c>
      <c r="CT71" s="21">
        <f t="shared" si="150"/>
        <v>1.480655652</v>
      </c>
      <c r="CU71" s="19">
        <v>0</v>
      </c>
      <c r="CV71" s="32" t="s">
        <v>130</v>
      </c>
    </row>
    <row r="72" spans="1:100" s="8" customFormat="1" ht="63" x14ac:dyDescent="0.25">
      <c r="A72" s="24" t="s">
        <v>204</v>
      </c>
      <c r="B72" s="20" t="s">
        <v>210</v>
      </c>
      <c r="C72" s="35" t="s">
        <v>216</v>
      </c>
      <c r="D72" s="16" t="s">
        <v>111</v>
      </c>
      <c r="E72" s="16">
        <v>2024</v>
      </c>
      <c r="F72" s="16">
        <v>2024</v>
      </c>
      <c r="G72" s="16">
        <v>2024</v>
      </c>
      <c r="H72" s="19">
        <v>0.19083348</v>
      </c>
      <c r="I72" s="19">
        <v>1.37641495</v>
      </c>
      <c r="J72" s="22" t="s">
        <v>134</v>
      </c>
      <c r="K72" s="22">
        <v>0.19947075</v>
      </c>
      <c r="L72" s="22">
        <f t="shared" si="173"/>
        <v>1.4802235800000001</v>
      </c>
      <c r="M72" s="22" t="s">
        <v>103</v>
      </c>
      <c r="N72" s="16" t="s">
        <v>103</v>
      </c>
      <c r="O72" s="19">
        <v>0</v>
      </c>
      <c r="P72" s="19">
        <f t="shared" si="174"/>
        <v>2.2649619599999999</v>
      </c>
      <c r="Q72" s="19">
        <f t="shared" si="174"/>
        <v>2.2649619599999999</v>
      </c>
      <c r="R72" s="19">
        <f t="shared" si="174"/>
        <v>2.2649619599999999</v>
      </c>
      <c r="S72" s="19">
        <v>2.2649619599999999</v>
      </c>
      <c r="T72" s="19">
        <f t="shared" si="172"/>
        <v>1.4493644640000001</v>
      </c>
      <c r="U72" s="19">
        <f t="shared" si="168"/>
        <v>1.4802235800000001</v>
      </c>
      <c r="V72" s="26">
        <f t="shared" si="169"/>
        <v>1.4493644640000001</v>
      </c>
      <c r="W72" s="26">
        <f t="shared" si="170"/>
        <v>0</v>
      </c>
      <c r="X72" s="19">
        <f t="shared" si="151"/>
        <v>0</v>
      </c>
      <c r="Y72" s="19">
        <v>0</v>
      </c>
      <c r="Z72" s="19">
        <v>0</v>
      </c>
      <c r="AA72" s="19">
        <v>0</v>
      </c>
      <c r="AB72" s="19">
        <v>0</v>
      </c>
      <c r="AC72" s="19">
        <v>0</v>
      </c>
      <c r="AD72" s="19">
        <f t="shared" si="171"/>
        <v>1.4493644640000001</v>
      </c>
      <c r="AE72" s="19">
        <v>0</v>
      </c>
      <c r="AF72" s="19">
        <v>0</v>
      </c>
      <c r="AG72" s="19">
        <v>1.4493644640000001</v>
      </c>
      <c r="AH72" s="19">
        <v>0</v>
      </c>
      <c r="AI72" s="19">
        <f t="shared" si="152"/>
        <v>1.4802235800000001</v>
      </c>
      <c r="AJ72" s="19">
        <v>0</v>
      </c>
      <c r="AK72" s="19">
        <v>0</v>
      </c>
      <c r="AL72" s="19">
        <v>1.4802235800000001</v>
      </c>
      <c r="AM72" s="19">
        <v>0</v>
      </c>
      <c r="AN72" s="19">
        <v>0</v>
      </c>
      <c r="AO72" s="19">
        <v>0</v>
      </c>
      <c r="AP72" s="19">
        <v>0</v>
      </c>
      <c r="AQ72" s="19">
        <v>0</v>
      </c>
      <c r="AR72" s="19">
        <v>0</v>
      </c>
      <c r="AS72" s="21">
        <f t="shared" si="153"/>
        <v>0</v>
      </c>
      <c r="AT72" s="19">
        <v>0</v>
      </c>
      <c r="AU72" s="19">
        <v>0</v>
      </c>
      <c r="AV72" s="19">
        <v>0</v>
      </c>
      <c r="AW72" s="19">
        <v>0</v>
      </c>
      <c r="AX72" s="19">
        <v>0</v>
      </c>
      <c r="AY72" s="19">
        <v>0</v>
      </c>
      <c r="AZ72" s="19">
        <v>0</v>
      </c>
      <c r="BA72" s="19">
        <v>0</v>
      </c>
      <c r="BB72" s="19">
        <v>0</v>
      </c>
      <c r="BC72" s="21">
        <f t="shared" si="154"/>
        <v>0</v>
      </c>
      <c r="BD72" s="19">
        <v>0</v>
      </c>
      <c r="BE72" s="19">
        <v>0</v>
      </c>
      <c r="BF72" s="19">
        <v>0</v>
      </c>
      <c r="BG72" s="19">
        <v>0</v>
      </c>
      <c r="BH72" s="19">
        <v>0</v>
      </c>
      <c r="BI72" s="19">
        <v>0</v>
      </c>
      <c r="BJ72" s="19">
        <v>0</v>
      </c>
      <c r="BK72" s="19">
        <v>0</v>
      </c>
      <c r="BL72" s="19">
        <v>0</v>
      </c>
      <c r="BM72" s="21">
        <f t="shared" si="156"/>
        <v>0</v>
      </c>
      <c r="BN72" s="19">
        <v>0</v>
      </c>
      <c r="BO72" s="19">
        <v>0</v>
      </c>
      <c r="BP72" s="19">
        <v>0</v>
      </c>
      <c r="BQ72" s="19">
        <v>0</v>
      </c>
      <c r="BR72" s="19">
        <v>0</v>
      </c>
      <c r="BS72" s="19">
        <v>0</v>
      </c>
      <c r="BT72" s="19">
        <v>0</v>
      </c>
      <c r="BU72" s="19">
        <v>0</v>
      </c>
      <c r="BV72" s="19">
        <v>0</v>
      </c>
      <c r="BW72" s="21">
        <f t="shared" si="158"/>
        <v>0</v>
      </c>
      <c r="BX72" s="19">
        <v>0</v>
      </c>
      <c r="BY72" s="19">
        <v>0</v>
      </c>
      <c r="BZ72" s="19">
        <v>0</v>
      </c>
      <c r="CA72" s="19">
        <v>0</v>
      </c>
      <c r="CB72" s="19">
        <v>0</v>
      </c>
      <c r="CC72" s="19">
        <v>0</v>
      </c>
      <c r="CD72" s="19">
        <v>0</v>
      </c>
      <c r="CE72" s="19">
        <v>0</v>
      </c>
      <c r="CF72" s="19">
        <v>0</v>
      </c>
      <c r="CG72" s="21">
        <f t="shared" si="159"/>
        <v>0</v>
      </c>
      <c r="CH72" s="19">
        <v>0</v>
      </c>
      <c r="CI72" s="19">
        <v>0</v>
      </c>
      <c r="CJ72" s="19">
        <v>0</v>
      </c>
      <c r="CK72" s="19">
        <v>0</v>
      </c>
      <c r="CL72" s="21">
        <v>1.4493644640000001</v>
      </c>
      <c r="CM72" s="19">
        <v>0</v>
      </c>
      <c r="CN72" s="19">
        <v>0</v>
      </c>
      <c r="CO72" s="21">
        <f t="shared" si="149"/>
        <v>1.4493644640000001</v>
      </c>
      <c r="CP72" s="19">
        <v>0</v>
      </c>
      <c r="CQ72" s="21">
        <f t="shared" si="163"/>
        <v>1.4802235800000001</v>
      </c>
      <c r="CR72" s="19">
        <v>0</v>
      </c>
      <c r="CS72" s="19">
        <v>0</v>
      </c>
      <c r="CT72" s="21">
        <f t="shared" si="150"/>
        <v>1.4802235800000001</v>
      </c>
      <c r="CU72" s="19">
        <v>0</v>
      </c>
      <c r="CV72" s="32" t="s">
        <v>130</v>
      </c>
    </row>
    <row r="73" spans="1:100" s="8" customFormat="1" ht="63" x14ac:dyDescent="0.25">
      <c r="A73" s="24" t="s">
        <v>205</v>
      </c>
      <c r="B73" s="20" t="s">
        <v>211</v>
      </c>
      <c r="C73" s="35" t="s">
        <v>217</v>
      </c>
      <c r="D73" s="16" t="s">
        <v>111</v>
      </c>
      <c r="E73" s="16">
        <v>2024</v>
      </c>
      <c r="F73" s="16">
        <v>2024</v>
      </c>
      <c r="G73" s="16">
        <v>2024</v>
      </c>
      <c r="H73" s="19">
        <v>0.36166049</v>
      </c>
      <c r="I73" s="19">
        <v>2.5298444500000001</v>
      </c>
      <c r="J73" s="22" t="s">
        <v>134</v>
      </c>
      <c r="K73" s="22">
        <v>0.36166049</v>
      </c>
      <c r="L73" s="22">
        <f t="shared" si="173"/>
        <v>2.6310767880000001</v>
      </c>
      <c r="M73" s="22" t="s">
        <v>103</v>
      </c>
      <c r="N73" s="16" t="s">
        <v>103</v>
      </c>
      <c r="O73" s="19">
        <v>0</v>
      </c>
      <c r="P73" s="19">
        <f>9059.5764/1000</f>
        <v>9.0595763999999992</v>
      </c>
      <c r="Q73" s="19">
        <f>9059.5764/1000</f>
        <v>9.0595763999999992</v>
      </c>
      <c r="R73" s="19">
        <f>9059.5764/1000</f>
        <v>9.0595763999999992</v>
      </c>
      <c r="S73" s="19">
        <v>9.0595763999999992</v>
      </c>
      <c r="T73" s="19">
        <f t="shared" si="172"/>
        <v>2.6639258219999999</v>
      </c>
      <c r="U73" s="19">
        <f t="shared" si="168"/>
        <v>2.6310767880000001</v>
      </c>
      <c r="V73" s="26">
        <f t="shared" si="169"/>
        <v>2.6639258219999999</v>
      </c>
      <c r="W73" s="26">
        <f t="shared" si="170"/>
        <v>0</v>
      </c>
      <c r="X73" s="19">
        <f t="shared" si="151"/>
        <v>0</v>
      </c>
      <c r="Y73" s="19">
        <v>0</v>
      </c>
      <c r="Z73" s="19">
        <v>0</v>
      </c>
      <c r="AA73" s="19">
        <v>0</v>
      </c>
      <c r="AB73" s="19">
        <v>0</v>
      </c>
      <c r="AC73" s="19">
        <v>0</v>
      </c>
      <c r="AD73" s="19">
        <f t="shared" si="171"/>
        <v>2.6639258219999999</v>
      </c>
      <c r="AE73" s="19">
        <v>0</v>
      </c>
      <c r="AF73" s="19">
        <v>0</v>
      </c>
      <c r="AG73" s="19">
        <f>2663.925822/1000</f>
        <v>2.6639258219999999</v>
      </c>
      <c r="AH73" s="19">
        <v>0</v>
      </c>
      <c r="AI73" s="19">
        <f t="shared" si="152"/>
        <v>2.6310767880000001</v>
      </c>
      <c r="AJ73" s="19">
        <v>0</v>
      </c>
      <c r="AK73" s="19">
        <v>0</v>
      </c>
      <c r="AL73" s="19">
        <v>2.6310767880000001</v>
      </c>
      <c r="AM73" s="19">
        <v>0</v>
      </c>
      <c r="AN73" s="19">
        <v>0</v>
      </c>
      <c r="AO73" s="19">
        <v>0</v>
      </c>
      <c r="AP73" s="19">
        <v>0</v>
      </c>
      <c r="AQ73" s="19">
        <v>0</v>
      </c>
      <c r="AR73" s="19">
        <v>0</v>
      </c>
      <c r="AS73" s="21">
        <f t="shared" si="153"/>
        <v>0</v>
      </c>
      <c r="AT73" s="19">
        <v>0</v>
      </c>
      <c r="AU73" s="19">
        <v>0</v>
      </c>
      <c r="AV73" s="19">
        <v>0</v>
      </c>
      <c r="AW73" s="19">
        <v>0</v>
      </c>
      <c r="AX73" s="19">
        <v>0</v>
      </c>
      <c r="AY73" s="19">
        <v>0</v>
      </c>
      <c r="AZ73" s="19">
        <v>0</v>
      </c>
      <c r="BA73" s="19">
        <v>0</v>
      </c>
      <c r="BB73" s="19">
        <v>0</v>
      </c>
      <c r="BC73" s="21">
        <f t="shared" si="154"/>
        <v>0</v>
      </c>
      <c r="BD73" s="19">
        <v>0</v>
      </c>
      <c r="BE73" s="19">
        <v>0</v>
      </c>
      <c r="BF73" s="19">
        <v>0</v>
      </c>
      <c r="BG73" s="19">
        <v>0</v>
      </c>
      <c r="BH73" s="19">
        <v>0</v>
      </c>
      <c r="BI73" s="19">
        <v>0</v>
      </c>
      <c r="BJ73" s="19">
        <v>0</v>
      </c>
      <c r="BK73" s="19">
        <v>0</v>
      </c>
      <c r="BL73" s="19">
        <v>0</v>
      </c>
      <c r="BM73" s="21">
        <f t="shared" si="156"/>
        <v>0</v>
      </c>
      <c r="BN73" s="19">
        <v>0</v>
      </c>
      <c r="BO73" s="19">
        <v>0</v>
      </c>
      <c r="BP73" s="19">
        <v>0</v>
      </c>
      <c r="BQ73" s="19">
        <v>0</v>
      </c>
      <c r="BR73" s="19">
        <v>0</v>
      </c>
      <c r="BS73" s="19">
        <v>0</v>
      </c>
      <c r="BT73" s="19">
        <v>0</v>
      </c>
      <c r="BU73" s="19">
        <v>0</v>
      </c>
      <c r="BV73" s="19">
        <v>0</v>
      </c>
      <c r="BW73" s="21">
        <f t="shared" si="158"/>
        <v>0</v>
      </c>
      <c r="BX73" s="19">
        <v>0</v>
      </c>
      <c r="BY73" s="19">
        <v>0</v>
      </c>
      <c r="BZ73" s="19">
        <v>0</v>
      </c>
      <c r="CA73" s="19">
        <v>0</v>
      </c>
      <c r="CB73" s="19">
        <v>0</v>
      </c>
      <c r="CC73" s="19">
        <v>0</v>
      </c>
      <c r="CD73" s="19">
        <v>0</v>
      </c>
      <c r="CE73" s="19">
        <v>0</v>
      </c>
      <c r="CF73" s="19">
        <v>0</v>
      </c>
      <c r="CG73" s="21">
        <f t="shared" si="159"/>
        <v>0</v>
      </c>
      <c r="CH73" s="19">
        <v>0</v>
      </c>
      <c r="CI73" s="19">
        <v>0</v>
      </c>
      <c r="CJ73" s="19">
        <v>0</v>
      </c>
      <c r="CK73" s="19">
        <v>0</v>
      </c>
      <c r="CL73" s="21">
        <v>2.6639258219999999</v>
      </c>
      <c r="CM73" s="19">
        <v>0</v>
      </c>
      <c r="CN73" s="19">
        <v>0</v>
      </c>
      <c r="CO73" s="21">
        <f t="shared" si="149"/>
        <v>2.6639258219999999</v>
      </c>
      <c r="CP73" s="19">
        <v>0</v>
      </c>
      <c r="CQ73" s="21">
        <f t="shared" si="163"/>
        <v>2.6310767880000001</v>
      </c>
      <c r="CR73" s="19">
        <v>0</v>
      </c>
      <c r="CS73" s="19">
        <v>0</v>
      </c>
      <c r="CT73" s="21">
        <f t="shared" si="150"/>
        <v>2.6310767880000001</v>
      </c>
      <c r="CU73" s="19">
        <v>0</v>
      </c>
      <c r="CV73" s="32" t="s">
        <v>130</v>
      </c>
    </row>
    <row r="74" spans="1:100" s="8" customFormat="1" ht="63" x14ac:dyDescent="0.25">
      <c r="A74" s="24" t="s">
        <v>206</v>
      </c>
      <c r="B74" s="20" t="s">
        <v>212</v>
      </c>
      <c r="C74" s="35" t="s">
        <v>220</v>
      </c>
      <c r="D74" s="16" t="s">
        <v>111</v>
      </c>
      <c r="E74" s="16">
        <v>2024</v>
      </c>
      <c r="F74" s="16">
        <v>2024</v>
      </c>
      <c r="G74" s="16">
        <v>2024</v>
      </c>
      <c r="H74" s="19">
        <v>0.26618317000000002</v>
      </c>
      <c r="I74" s="19">
        <v>1.9485959900000001</v>
      </c>
      <c r="J74" s="22" t="s">
        <v>134</v>
      </c>
      <c r="K74" s="22">
        <v>0.26188299999999998</v>
      </c>
      <c r="L74" s="22">
        <f t="shared" si="173"/>
        <v>1.989434784</v>
      </c>
      <c r="M74" s="22" t="s">
        <v>103</v>
      </c>
      <c r="N74" s="16" t="s">
        <v>103</v>
      </c>
      <c r="O74" s="19">
        <v>0</v>
      </c>
      <c r="P74" s="19">
        <f t="shared" ref="P74:Q75" si="175">4163.46048/1000</f>
        <v>4.1634604799999995</v>
      </c>
      <c r="Q74" s="19">
        <f t="shared" si="175"/>
        <v>4.1634604799999995</v>
      </c>
      <c r="R74" s="19">
        <f>4163.46048/1000</f>
        <v>4.1634604799999995</v>
      </c>
      <c r="S74" s="19">
        <v>4.1634604799999995</v>
      </c>
      <c r="T74" s="19">
        <f t="shared" si="172"/>
        <v>2.051872452</v>
      </c>
      <c r="U74" s="19">
        <f t="shared" si="168"/>
        <v>1.989434784</v>
      </c>
      <c r="V74" s="26">
        <f t="shared" si="169"/>
        <v>2.051872452</v>
      </c>
      <c r="W74" s="26">
        <f t="shared" si="170"/>
        <v>0</v>
      </c>
      <c r="X74" s="19">
        <f t="shared" si="151"/>
        <v>0</v>
      </c>
      <c r="Y74" s="19">
        <v>0</v>
      </c>
      <c r="Z74" s="19">
        <v>0</v>
      </c>
      <c r="AA74" s="19">
        <v>0</v>
      </c>
      <c r="AB74" s="19">
        <v>0</v>
      </c>
      <c r="AC74" s="19">
        <v>0</v>
      </c>
      <c r="AD74" s="19">
        <f t="shared" si="171"/>
        <v>2.051872452</v>
      </c>
      <c r="AE74" s="19">
        <v>0</v>
      </c>
      <c r="AF74" s="19">
        <v>0</v>
      </c>
      <c r="AG74" s="19">
        <f>2051.872452/1000</f>
        <v>2.051872452</v>
      </c>
      <c r="AH74" s="19">
        <v>0</v>
      </c>
      <c r="AI74" s="19">
        <f t="shared" si="152"/>
        <v>1.989434784</v>
      </c>
      <c r="AJ74" s="19">
        <v>0</v>
      </c>
      <c r="AK74" s="19">
        <v>0</v>
      </c>
      <c r="AL74" s="19">
        <v>1.989434784</v>
      </c>
      <c r="AM74" s="19">
        <v>0</v>
      </c>
      <c r="AN74" s="19">
        <v>0</v>
      </c>
      <c r="AO74" s="19">
        <v>0</v>
      </c>
      <c r="AP74" s="19">
        <v>0</v>
      </c>
      <c r="AQ74" s="19">
        <v>0</v>
      </c>
      <c r="AR74" s="19">
        <v>0</v>
      </c>
      <c r="AS74" s="21">
        <f t="shared" si="153"/>
        <v>0</v>
      </c>
      <c r="AT74" s="19">
        <v>0</v>
      </c>
      <c r="AU74" s="19">
        <v>0</v>
      </c>
      <c r="AV74" s="19">
        <v>0</v>
      </c>
      <c r="AW74" s="19">
        <v>0</v>
      </c>
      <c r="AX74" s="19">
        <v>0</v>
      </c>
      <c r="AY74" s="19">
        <v>0</v>
      </c>
      <c r="AZ74" s="19">
        <v>0</v>
      </c>
      <c r="BA74" s="19">
        <v>0</v>
      </c>
      <c r="BB74" s="19">
        <v>0</v>
      </c>
      <c r="BC74" s="21">
        <f t="shared" si="154"/>
        <v>0</v>
      </c>
      <c r="BD74" s="19">
        <v>0</v>
      </c>
      <c r="BE74" s="19">
        <v>0</v>
      </c>
      <c r="BF74" s="19">
        <v>0</v>
      </c>
      <c r="BG74" s="19">
        <v>0</v>
      </c>
      <c r="BH74" s="19">
        <v>0</v>
      </c>
      <c r="BI74" s="19">
        <v>0</v>
      </c>
      <c r="BJ74" s="19">
        <v>0</v>
      </c>
      <c r="BK74" s="19">
        <v>0</v>
      </c>
      <c r="BL74" s="19">
        <v>0</v>
      </c>
      <c r="BM74" s="21">
        <f t="shared" si="156"/>
        <v>0</v>
      </c>
      <c r="BN74" s="19">
        <v>0</v>
      </c>
      <c r="BO74" s="19">
        <v>0</v>
      </c>
      <c r="BP74" s="19">
        <v>0</v>
      </c>
      <c r="BQ74" s="19">
        <v>0</v>
      </c>
      <c r="BR74" s="19">
        <v>0</v>
      </c>
      <c r="BS74" s="19">
        <v>0</v>
      </c>
      <c r="BT74" s="19">
        <v>0</v>
      </c>
      <c r="BU74" s="19">
        <v>0</v>
      </c>
      <c r="BV74" s="19">
        <v>0</v>
      </c>
      <c r="BW74" s="21">
        <f t="shared" si="158"/>
        <v>0</v>
      </c>
      <c r="BX74" s="19">
        <v>0</v>
      </c>
      <c r="BY74" s="19">
        <v>0</v>
      </c>
      <c r="BZ74" s="19">
        <v>0</v>
      </c>
      <c r="CA74" s="19">
        <v>0</v>
      </c>
      <c r="CB74" s="19">
        <v>0</v>
      </c>
      <c r="CC74" s="19">
        <v>0</v>
      </c>
      <c r="CD74" s="19">
        <v>0</v>
      </c>
      <c r="CE74" s="19">
        <v>0</v>
      </c>
      <c r="CF74" s="19">
        <v>0</v>
      </c>
      <c r="CG74" s="21">
        <f t="shared" si="159"/>
        <v>0</v>
      </c>
      <c r="CH74" s="19">
        <v>0</v>
      </c>
      <c r="CI74" s="19">
        <v>0</v>
      </c>
      <c r="CJ74" s="19">
        <v>0</v>
      </c>
      <c r="CK74" s="19">
        <v>0</v>
      </c>
      <c r="CL74" s="21">
        <v>2.051872452</v>
      </c>
      <c r="CM74" s="19">
        <v>0</v>
      </c>
      <c r="CN74" s="19">
        <v>0</v>
      </c>
      <c r="CO74" s="21">
        <f t="shared" si="149"/>
        <v>2.051872452</v>
      </c>
      <c r="CP74" s="19">
        <v>0</v>
      </c>
      <c r="CQ74" s="21">
        <f t="shared" si="163"/>
        <v>1.989434784</v>
      </c>
      <c r="CR74" s="19">
        <v>0</v>
      </c>
      <c r="CS74" s="19">
        <v>0</v>
      </c>
      <c r="CT74" s="21">
        <f t="shared" si="150"/>
        <v>1.989434784</v>
      </c>
      <c r="CU74" s="19">
        <v>0</v>
      </c>
      <c r="CV74" s="32" t="s">
        <v>130</v>
      </c>
    </row>
    <row r="75" spans="1:100" s="8" customFormat="1" ht="63" x14ac:dyDescent="0.25">
      <c r="A75" s="24" t="s">
        <v>207</v>
      </c>
      <c r="B75" s="20" t="s">
        <v>213</v>
      </c>
      <c r="C75" s="35" t="s">
        <v>221</v>
      </c>
      <c r="D75" s="16" t="s">
        <v>111</v>
      </c>
      <c r="E75" s="16">
        <v>2024</v>
      </c>
      <c r="F75" s="16">
        <v>2024</v>
      </c>
      <c r="G75" s="16">
        <v>2024</v>
      </c>
      <c r="H75" s="19">
        <v>0.34211698000000001</v>
      </c>
      <c r="I75" s="19">
        <v>2.4786324400000002</v>
      </c>
      <c r="J75" s="22" t="s">
        <v>134</v>
      </c>
      <c r="K75" s="22">
        <v>0.43558989999999997</v>
      </c>
      <c r="L75" s="22">
        <f t="shared" si="173"/>
        <v>3.004121064</v>
      </c>
      <c r="M75" s="22" t="s">
        <v>103</v>
      </c>
      <c r="N75" s="16" t="s">
        <v>103</v>
      </c>
      <c r="O75" s="19">
        <v>0</v>
      </c>
      <c r="P75" s="19">
        <f t="shared" si="175"/>
        <v>4.1634604799999995</v>
      </c>
      <c r="Q75" s="19">
        <f t="shared" si="175"/>
        <v>4.1634604799999995</v>
      </c>
      <c r="R75" s="19">
        <f>4163.46048/1000</f>
        <v>4.1634604799999995</v>
      </c>
      <c r="S75" s="19">
        <v>4.1634604799999995</v>
      </c>
      <c r="T75" s="19">
        <f t="shared" si="172"/>
        <v>2.6099993340000003</v>
      </c>
      <c r="U75" s="19">
        <f t="shared" si="168"/>
        <v>3.004121064</v>
      </c>
      <c r="V75" s="26">
        <f t="shared" si="169"/>
        <v>2.6099993340000003</v>
      </c>
      <c r="W75" s="26">
        <f t="shared" si="170"/>
        <v>0</v>
      </c>
      <c r="X75" s="19">
        <f t="shared" si="151"/>
        <v>0</v>
      </c>
      <c r="Y75" s="19">
        <v>0</v>
      </c>
      <c r="Z75" s="19">
        <v>0</v>
      </c>
      <c r="AA75" s="19">
        <v>0</v>
      </c>
      <c r="AB75" s="19">
        <v>0</v>
      </c>
      <c r="AC75" s="19">
        <v>0</v>
      </c>
      <c r="AD75" s="19">
        <f t="shared" ref="AD75" si="176">AG75</f>
        <v>2.6099993340000003</v>
      </c>
      <c r="AE75" s="19">
        <v>0</v>
      </c>
      <c r="AF75" s="19">
        <v>0</v>
      </c>
      <c r="AG75" s="19">
        <f>2609.999334/1000</f>
        <v>2.6099993340000003</v>
      </c>
      <c r="AH75" s="19">
        <v>0</v>
      </c>
      <c r="AI75" s="19">
        <f t="shared" si="152"/>
        <v>3.004121064</v>
      </c>
      <c r="AJ75" s="19">
        <v>0</v>
      </c>
      <c r="AK75" s="19">
        <v>0</v>
      </c>
      <c r="AL75" s="19">
        <v>3.004121064</v>
      </c>
      <c r="AM75" s="19">
        <v>0</v>
      </c>
      <c r="AN75" s="19">
        <v>0</v>
      </c>
      <c r="AO75" s="19">
        <v>0</v>
      </c>
      <c r="AP75" s="19">
        <v>0</v>
      </c>
      <c r="AQ75" s="19">
        <v>0</v>
      </c>
      <c r="AR75" s="19">
        <v>0</v>
      </c>
      <c r="AS75" s="21">
        <f t="shared" si="153"/>
        <v>0</v>
      </c>
      <c r="AT75" s="19">
        <v>0</v>
      </c>
      <c r="AU75" s="19">
        <v>0</v>
      </c>
      <c r="AV75" s="19">
        <v>0</v>
      </c>
      <c r="AW75" s="19">
        <v>0</v>
      </c>
      <c r="AX75" s="19">
        <v>0</v>
      </c>
      <c r="AY75" s="19">
        <v>0</v>
      </c>
      <c r="AZ75" s="19">
        <v>0</v>
      </c>
      <c r="BA75" s="19">
        <v>0</v>
      </c>
      <c r="BB75" s="19">
        <v>0</v>
      </c>
      <c r="BC75" s="21">
        <f t="shared" si="154"/>
        <v>0</v>
      </c>
      <c r="BD75" s="19">
        <v>0</v>
      </c>
      <c r="BE75" s="19">
        <v>0</v>
      </c>
      <c r="BF75" s="19">
        <v>0</v>
      </c>
      <c r="BG75" s="19">
        <v>0</v>
      </c>
      <c r="BH75" s="19">
        <v>0</v>
      </c>
      <c r="BI75" s="19">
        <v>0</v>
      </c>
      <c r="BJ75" s="19">
        <v>0</v>
      </c>
      <c r="BK75" s="19">
        <v>0</v>
      </c>
      <c r="BL75" s="19">
        <v>0</v>
      </c>
      <c r="BM75" s="21">
        <f t="shared" si="156"/>
        <v>0</v>
      </c>
      <c r="BN75" s="19">
        <v>0</v>
      </c>
      <c r="BO75" s="19">
        <v>0</v>
      </c>
      <c r="BP75" s="19">
        <v>0</v>
      </c>
      <c r="BQ75" s="19">
        <v>0</v>
      </c>
      <c r="BR75" s="19">
        <v>0</v>
      </c>
      <c r="BS75" s="19">
        <v>0</v>
      </c>
      <c r="BT75" s="19">
        <v>0</v>
      </c>
      <c r="BU75" s="19">
        <v>0</v>
      </c>
      <c r="BV75" s="19">
        <v>0</v>
      </c>
      <c r="BW75" s="21">
        <f t="shared" si="158"/>
        <v>0</v>
      </c>
      <c r="BX75" s="19">
        <v>0</v>
      </c>
      <c r="BY75" s="19">
        <v>0</v>
      </c>
      <c r="BZ75" s="19">
        <v>0</v>
      </c>
      <c r="CA75" s="19">
        <v>0</v>
      </c>
      <c r="CB75" s="19">
        <v>0</v>
      </c>
      <c r="CC75" s="19">
        <v>0</v>
      </c>
      <c r="CD75" s="19">
        <v>0</v>
      </c>
      <c r="CE75" s="19">
        <v>0</v>
      </c>
      <c r="CF75" s="19">
        <v>0</v>
      </c>
      <c r="CG75" s="21">
        <f t="shared" si="159"/>
        <v>0</v>
      </c>
      <c r="CH75" s="19">
        <v>0</v>
      </c>
      <c r="CI75" s="19">
        <v>0</v>
      </c>
      <c r="CJ75" s="19">
        <v>0</v>
      </c>
      <c r="CK75" s="19">
        <v>0</v>
      </c>
      <c r="CL75" s="21">
        <v>2.6099993340000003</v>
      </c>
      <c r="CM75" s="19">
        <v>0</v>
      </c>
      <c r="CN75" s="19">
        <v>0</v>
      </c>
      <c r="CO75" s="21">
        <f t="shared" si="149"/>
        <v>2.6099993340000003</v>
      </c>
      <c r="CP75" s="19">
        <v>0</v>
      </c>
      <c r="CQ75" s="21">
        <f t="shared" si="163"/>
        <v>3.004121064</v>
      </c>
      <c r="CR75" s="19">
        <v>0</v>
      </c>
      <c r="CS75" s="19">
        <v>0</v>
      </c>
      <c r="CT75" s="21">
        <f t="shared" si="150"/>
        <v>3.004121064</v>
      </c>
      <c r="CU75" s="19">
        <v>0</v>
      </c>
      <c r="CV75" s="32" t="s">
        <v>130</v>
      </c>
    </row>
    <row r="76" spans="1:100" s="8" customFormat="1" ht="63" x14ac:dyDescent="0.25">
      <c r="A76" s="24" t="s">
        <v>244</v>
      </c>
      <c r="B76" s="20" t="s">
        <v>246</v>
      </c>
      <c r="C76" s="35" t="s">
        <v>245</v>
      </c>
      <c r="D76" s="16" t="s">
        <v>111</v>
      </c>
      <c r="E76" s="16">
        <v>2025</v>
      </c>
      <c r="F76" s="16">
        <v>2025</v>
      </c>
      <c r="G76" s="16">
        <v>2025</v>
      </c>
      <c r="H76" s="19">
        <f>7.87395286388018*1.2</f>
        <v>9.4487434366562155</v>
      </c>
      <c r="I76" s="19">
        <v>73.239047999999997</v>
      </c>
      <c r="J76" s="22" t="s">
        <v>255</v>
      </c>
      <c r="K76" s="22">
        <f t="shared" ref="K76:M81" si="177">H76</f>
        <v>9.4487434366562155</v>
      </c>
      <c r="L76" s="22">
        <f t="shared" si="177"/>
        <v>73.239047999999997</v>
      </c>
      <c r="M76" s="22" t="str">
        <f t="shared" si="177"/>
        <v>август 2024 г.</v>
      </c>
      <c r="N76" s="16" t="s">
        <v>103</v>
      </c>
      <c r="O76" s="19">
        <v>0</v>
      </c>
      <c r="P76" s="19">
        <v>474.68021759999999</v>
      </c>
      <c r="Q76" s="19">
        <v>511.70527457280002</v>
      </c>
      <c r="R76" s="19">
        <f>474680.2176/1000</f>
        <v>474.68021759999999</v>
      </c>
      <c r="S76" s="19">
        <f>558270.454558925/1000</f>
        <v>558.27045455892505</v>
      </c>
      <c r="T76" s="19">
        <f t="shared" si="172"/>
        <v>73.239047999999997</v>
      </c>
      <c r="U76" s="19">
        <f t="shared" ref="U76:U81" si="178">O76+CT76</f>
        <v>73.239047999999997</v>
      </c>
      <c r="V76" s="26">
        <f t="shared" si="169"/>
        <v>73.239047999999997</v>
      </c>
      <c r="W76" s="26">
        <f t="shared" si="170"/>
        <v>73.239047999999997</v>
      </c>
      <c r="X76" s="19">
        <f t="shared" si="151"/>
        <v>73.239047999999997</v>
      </c>
      <c r="Y76" s="19">
        <v>0</v>
      </c>
      <c r="Z76" s="19">
        <v>0</v>
      </c>
      <c r="AA76" s="19">
        <v>0</v>
      </c>
      <c r="AB76" s="19">
        <v>0</v>
      </c>
      <c r="AC76" s="19">
        <v>0</v>
      </c>
      <c r="AD76" s="19">
        <f t="shared" si="171"/>
        <v>0</v>
      </c>
      <c r="AE76" s="19">
        <v>0</v>
      </c>
      <c r="AF76" s="19">
        <v>0</v>
      </c>
      <c r="AG76" s="19">
        <v>0</v>
      </c>
      <c r="AH76" s="19">
        <v>0</v>
      </c>
      <c r="AI76" s="19">
        <f t="shared" si="152"/>
        <v>0</v>
      </c>
      <c r="AJ76" s="19">
        <v>0</v>
      </c>
      <c r="AK76" s="19">
        <v>0</v>
      </c>
      <c r="AL76" s="19">
        <v>0</v>
      </c>
      <c r="AM76" s="19">
        <v>0</v>
      </c>
      <c r="AN76" s="19">
        <f>SUM(AO76:AR76)</f>
        <v>73.239047999999997</v>
      </c>
      <c r="AO76" s="19">
        <v>0</v>
      </c>
      <c r="AP76" s="19">
        <v>0</v>
      </c>
      <c r="AQ76" s="19">
        <v>73.239047999999997</v>
      </c>
      <c r="AR76" s="19">
        <v>0</v>
      </c>
      <c r="AS76" s="21">
        <f t="shared" si="153"/>
        <v>73.239047999999997</v>
      </c>
      <c r="AT76" s="19">
        <v>0</v>
      </c>
      <c r="AU76" s="19">
        <v>0</v>
      </c>
      <c r="AV76" s="19">
        <v>73.239047999999997</v>
      </c>
      <c r="AW76" s="19">
        <v>0</v>
      </c>
      <c r="AX76" s="19">
        <v>0</v>
      </c>
      <c r="AY76" s="19">
        <v>0</v>
      </c>
      <c r="AZ76" s="19">
        <v>0</v>
      </c>
      <c r="BA76" s="19">
        <v>0</v>
      </c>
      <c r="BB76" s="19">
        <v>0</v>
      </c>
      <c r="BC76" s="21">
        <f t="shared" si="154"/>
        <v>0</v>
      </c>
      <c r="BD76" s="19">
        <v>0</v>
      </c>
      <c r="BE76" s="19">
        <v>0</v>
      </c>
      <c r="BF76" s="19">
        <v>0</v>
      </c>
      <c r="BG76" s="19">
        <v>0</v>
      </c>
      <c r="BH76" s="19">
        <v>0</v>
      </c>
      <c r="BI76" s="19">
        <v>0</v>
      </c>
      <c r="BJ76" s="19">
        <v>0</v>
      </c>
      <c r="BK76" s="19">
        <v>0</v>
      </c>
      <c r="BL76" s="19">
        <v>0</v>
      </c>
      <c r="BM76" s="21">
        <f t="shared" si="156"/>
        <v>0</v>
      </c>
      <c r="BN76" s="19">
        <v>0</v>
      </c>
      <c r="BO76" s="19">
        <v>0</v>
      </c>
      <c r="BP76" s="19">
        <v>0</v>
      </c>
      <c r="BQ76" s="19">
        <v>0</v>
      </c>
      <c r="BR76" s="19">
        <v>0</v>
      </c>
      <c r="BS76" s="19">
        <v>0</v>
      </c>
      <c r="BT76" s="19">
        <v>0</v>
      </c>
      <c r="BU76" s="19">
        <v>0</v>
      </c>
      <c r="BV76" s="19">
        <v>0</v>
      </c>
      <c r="BW76" s="21">
        <f>SUM(BX76:CA76)</f>
        <v>0</v>
      </c>
      <c r="BX76" s="19">
        <v>0</v>
      </c>
      <c r="BY76" s="19">
        <v>0</v>
      </c>
      <c r="BZ76" s="19">
        <v>0</v>
      </c>
      <c r="CA76" s="19">
        <v>0</v>
      </c>
      <c r="CB76" s="19">
        <v>0</v>
      </c>
      <c r="CC76" s="19">
        <v>0</v>
      </c>
      <c r="CD76" s="19">
        <v>0</v>
      </c>
      <c r="CE76" s="19">
        <v>0</v>
      </c>
      <c r="CF76" s="19">
        <v>0</v>
      </c>
      <c r="CG76" s="21">
        <f t="shared" si="159"/>
        <v>0</v>
      </c>
      <c r="CH76" s="19">
        <v>0</v>
      </c>
      <c r="CI76" s="19">
        <v>0</v>
      </c>
      <c r="CJ76" s="19">
        <v>0</v>
      </c>
      <c r="CK76" s="19">
        <v>0</v>
      </c>
      <c r="CL76" s="21">
        <v>73.239047999999997</v>
      </c>
      <c r="CM76" s="19">
        <v>0</v>
      </c>
      <c r="CN76" s="19">
        <v>0</v>
      </c>
      <c r="CO76" s="21">
        <f t="shared" si="149"/>
        <v>73.239047999999997</v>
      </c>
      <c r="CP76" s="19">
        <v>0</v>
      </c>
      <c r="CQ76" s="21">
        <f t="shared" si="163"/>
        <v>73.239047999999997</v>
      </c>
      <c r="CR76" s="19">
        <v>0</v>
      </c>
      <c r="CS76" s="19">
        <v>0</v>
      </c>
      <c r="CT76" s="21">
        <f t="shared" si="150"/>
        <v>73.239047999999997</v>
      </c>
      <c r="CU76" s="19">
        <v>0</v>
      </c>
      <c r="CV76" s="32" t="s">
        <v>130</v>
      </c>
    </row>
    <row r="77" spans="1:100" s="8" customFormat="1" ht="63" x14ac:dyDescent="0.25">
      <c r="A77" s="24" t="s">
        <v>250</v>
      </c>
      <c r="B77" s="20" t="s">
        <v>256</v>
      </c>
      <c r="C77" s="36" t="s">
        <v>257</v>
      </c>
      <c r="D77" s="16" t="s">
        <v>111</v>
      </c>
      <c r="E77" s="16">
        <v>2026</v>
      </c>
      <c r="F77" s="16">
        <v>2026</v>
      </c>
      <c r="G77" s="16">
        <v>2026</v>
      </c>
      <c r="H77" s="19">
        <f>4.79113144*1.065*1.2</f>
        <v>6.1230659803199998</v>
      </c>
      <c r="I77" s="19">
        <f>33.0844719623927*1.065*1.2</f>
        <v>42.281955167937866</v>
      </c>
      <c r="J77" s="22" t="s">
        <v>255</v>
      </c>
      <c r="K77" s="22">
        <f t="shared" si="177"/>
        <v>6.1230659803199998</v>
      </c>
      <c r="L77" s="22">
        <f t="shared" si="177"/>
        <v>42.281955167937866</v>
      </c>
      <c r="M77" s="22" t="str">
        <f t="shared" si="177"/>
        <v>август 2024 г.</v>
      </c>
      <c r="N77" s="16" t="s">
        <v>103</v>
      </c>
      <c r="O77" s="19">
        <v>0</v>
      </c>
      <c r="P77" s="19">
        <f>69201.40608/1000</f>
        <v>69.201406079999998</v>
      </c>
      <c r="Q77" s="19">
        <f>78552.8688892147/1000</f>
        <v>78.552868889214707</v>
      </c>
      <c r="R77" s="19">
        <f>69201.40608/1000</f>
        <v>69.201406079999998</v>
      </c>
      <c r="S77" s="19">
        <f>85701.1799581332/1000</f>
        <v>85.701179958133196</v>
      </c>
      <c r="T77" s="19">
        <f t="shared" si="172"/>
        <v>52.363292231999999</v>
      </c>
      <c r="U77" s="19">
        <f t="shared" si="178"/>
        <v>52.363292231999999</v>
      </c>
      <c r="V77" s="26">
        <f t="shared" si="169"/>
        <v>52.363292231999999</v>
      </c>
      <c r="W77" s="26">
        <f t="shared" si="170"/>
        <v>52.363292231999999</v>
      </c>
      <c r="X77" s="19">
        <f t="shared" si="151"/>
        <v>52.363292231999999</v>
      </c>
      <c r="Y77" s="19">
        <v>0</v>
      </c>
      <c r="Z77" s="19">
        <v>0</v>
      </c>
      <c r="AA77" s="19">
        <v>0</v>
      </c>
      <c r="AB77" s="19">
        <v>0</v>
      </c>
      <c r="AC77" s="19">
        <v>0</v>
      </c>
      <c r="AD77" s="19">
        <v>0</v>
      </c>
      <c r="AE77" s="19">
        <v>0</v>
      </c>
      <c r="AF77" s="19">
        <v>0</v>
      </c>
      <c r="AG77" s="19">
        <v>0</v>
      </c>
      <c r="AH77" s="19">
        <v>0</v>
      </c>
      <c r="AI77" s="19">
        <f t="shared" si="152"/>
        <v>0</v>
      </c>
      <c r="AJ77" s="19">
        <v>0</v>
      </c>
      <c r="AK77" s="19">
        <v>0</v>
      </c>
      <c r="AL77" s="19">
        <v>0</v>
      </c>
      <c r="AM77" s="19">
        <v>0</v>
      </c>
      <c r="AN77" s="19">
        <v>0</v>
      </c>
      <c r="AO77" s="19">
        <v>0</v>
      </c>
      <c r="AP77" s="19">
        <v>0</v>
      </c>
      <c r="AQ77" s="19">
        <v>0</v>
      </c>
      <c r="AR77" s="19">
        <v>0</v>
      </c>
      <c r="AS77" s="21">
        <f t="shared" si="153"/>
        <v>0</v>
      </c>
      <c r="AT77" s="19">
        <v>0</v>
      </c>
      <c r="AU77" s="19">
        <v>0</v>
      </c>
      <c r="AV77" s="19">
        <v>0</v>
      </c>
      <c r="AW77" s="19">
        <v>0</v>
      </c>
      <c r="AX77" s="19">
        <f>BA77</f>
        <v>52.363292231999999</v>
      </c>
      <c r="AY77" s="19">
        <v>0</v>
      </c>
      <c r="AZ77" s="19">
        <v>0</v>
      </c>
      <c r="BA77" s="19">
        <v>52.363292231999999</v>
      </c>
      <c r="BB77" s="19">
        <v>0</v>
      </c>
      <c r="BC77" s="21">
        <f t="shared" si="154"/>
        <v>52.363292231999999</v>
      </c>
      <c r="BD77" s="19">
        <v>0</v>
      </c>
      <c r="BE77" s="19">
        <v>0</v>
      </c>
      <c r="BF77" s="19">
        <v>52.363292231999999</v>
      </c>
      <c r="BG77" s="19">
        <v>0</v>
      </c>
      <c r="BH77" s="19">
        <v>0</v>
      </c>
      <c r="BI77" s="19">
        <v>0</v>
      </c>
      <c r="BJ77" s="19">
        <v>0</v>
      </c>
      <c r="BK77" s="19">
        <v>0</v>
      </c>
      <c r="BL77" s="19">
        <v>0</v>
      </c>
      <c r="BM77" s="21">
        <f t="shared" si="156"/>
        <v>0</v>
      </c>
      <c r="BN77" s="19">
        <v>0</v>
      </c>
      <c r="BO77" s="19">
        <v>0</v>
      </c>
      <c r="BP77" s="19">
        <v>0</v>
      </c>
      <c r="BQ77" s="19">
        <v>0</v>
      </c>
      <c r="BR77" s="19">
        <v>0</v>
      </c>
      <c r="BS77" s="19">
        <v>0</v>
      </c>
      <c r="BT77" s="19">
        <v>0</v>
      </c>
      <c r="BU77" s="19">
        <v>0</v>
      </c>
      <c r="BV77" s="19">
        <v>0</v>
      </c>
      <c r="BW77" s="21">
        <f>SUM(BX77:CA77)</f>
        <v>0</v>
      </c>
      <c r="BX77" s="19">
        <v>0</v>
      </c>
      <c r="BY77" s="19">
        <v>0</v>
      </c>
      <c r="BZ77" s="19">
        <v>0</v>
      </c>
      <c r="CA77" s="19">
        <v>0</v>
      </c>
      <c r="CB77" s="19">
        <v>0</v>
      </c>
      <c r="CC77" s="19">
        <v>0</v>
      </c>
      <c r="CD77" s="19">
        <v>0</v>
      </c>
      <c r="CE77" s="19">
        <v>0</v>
      </c>
      <c r="CF77" s="19">
        <v>0</v>
      </c>
      <c r="CG77" s="21">
        <f t="shared" si="159"/>
        <v>0</v>
      </c>
      <c r="CH77" s="19">
        <v>0</v>
      </c>
      <c r="CI77" s="19">
        <v>0</v>
      </c>
      <c r="CJ77" s="19">
        <v>0</v>
      </c>
      <c r="CK77" s="19">
        <v>0</v>
      </c>
      <c r="CL77" s="19">
        <v>52.363292231999999</v>
      </c>
      <c r="CM77" s="19">
        <v>0</v>
      </c>
      <c r="CN77" s="19">
        <v>0</v>
      </c>
      <c r="CO77" s="21">
        <f>BA77</f>
        <v>52.363292231999999</v>
      </c>
      <c r="CP77" s="19">
        <v>0</v>
      </c>
      <c r="CQ77" s="21">
        <f t="shared" si="163"/>
        <v>52.363292231999999</v>
      </c>
      <c r="CR77" s="19">
        <v>0</v>
      </c>
      <c r="CS77" s="19">
        <v>0</v>
      </c>
      <c r="CT77" s="21">
        <f t="shared" si="150"/>
        <v>52.363292231999999</v>
      </c>
      <c r="CU77" s="19">
        <v>0</v>
      </c>
      <c r="CV77" s="32" t="s">
        <v>130</v>
      </c>
    </row>
    <row r="78" spans="1:100" s="8" customFormat="1" ht="63" x14ac:dyDescent="0.25">
      <c r="A78" s="24" t="s">
        <v>251</v>
      </c>
      <c r="B78" s="20" t="s">
        <v>258</v>
      </c>
      <c r="C78" s="36" t="s">
        <v>259</v>
      </c>
      <c r="D78" s="16" t="s">
        <v>111</v>
      </c>
      <c r="E78" s="16">
        <v>2026</v>
      </c>
      <c r="F78" s="16">
        <v>2026</v>
      </c>
      <c r="G78" s="16">
        <v>2026</v>
      </c>
      <c r="H78" s="19">
        <f>4.79113144*1.065*1.2</f>
        <v>6.1230659803199998</v>
      </c>
      <c r="I78" s="19">
        <f>33.0844719623927*1.065*1.2</f>
        <v>42.281955167937866</v>
      </c>
      <c r="J78" s="22" t="s">
        <v>255</v>
      </c>
      <c r="K78" s="22">
        <f t="shared" si="177"/>
        <v>6.1230659803199998</v>
      </c>
      <c r="L78" s="22">
        <f t="shared" si="177"/>
        <v>42.281955167937866</v>
      </c>
      <c r="M78" s="22" t="str">
        <f t="shared" si="177"/>
        <v>август 2024 г.</v>
      </c>
      <c r="N78" s="16" t="s">
        <v>103</v>
      </c>
      <c r="O78" s="19">
        <v>0</v>
      </c>
      <c r="P78" s="19">
        <v>69.201406079999998</v>
      </c>
      <c r="Q78" s="19">
        <v>78.552868889214693</v>
      </c>
      <c r="R78" s="19">
        <f>69201.40608/1000</f>
        <v>69.201406079999998</v>
      </c>
      <c r="S78" s="19">
        <f>85701.1799581332/1000</f>
        <v>85.701179958133196</v>
      </c>
      <c r="T78" s="19">
        <f t="shared" si="172"/>
        <v>52.363292231999999</v>
      </c>
      <c r="U78" s="19">
        <f t="shared" si="178"/>
        <v>52.363292231999999</v>
      </c>
      <c r="V78" s="26">
        <f t="shared" si="169"/>
        <v>52.363292231999999</v>
      </c>
      <c r="W78" s="26">
        <f t="shared" si="170"/>
        <v>52.363292231999999</v>
      </c>
      <c r="X78" s="19">
        <f t="shared" si="151"/>
        <v>52.363292231999999</v>
      </c>
      <c r="Y78" s="19">
        <v>0</v>
      </c>
      <c r="Z78" s="19">
        <v>0</v>
      </c>
      <c r="AA78" s="19">
        <v>0</v>
      </c>
      <c r="AB78" s="19">
        <v>0</v>
      </c>
      <c r="AC78" s="19">
        <v>0</v>
      </c>
      <c r="AD78" s="19">
        <v>0</v>
      </c>
      <c r="AE78" s="19">
        <v>0</v>
      </c>
      <c r="AF78" s="19">
        <v>0</v>
      </c>
      <c r="AG78" s="19">
        <v>0</v>
      </c>
      <c r="AH78" s="19">
        <v>0</v>
      </c>
      <c r="AI78" s="19">
        <f t="shared" si="152"/>
        <v>0</v>
      </c>
      <c r="AJ78" s="19">
        <v>0</v>
      </c>
      <c r="AK78" s="19">
        <v>0</v>
      </c>
      <c r="AL78" s="19">
        <v>0</v>
      </c>
      <c r="AM78" s="19">
        <v>0</v>
      </c>
      <c r="AN78" s="19">
        <v>0</v>
      </c>
      <c r="AO78" s="19">
        <v>0</v>
      </c>
      <c r="AP78" s="19">
        <v>0</v>
      </c>
      <c r="AQ78" s="19">
        <v>0</v>
      </c>
      <c r="AR78" s="19">
        <v>0</v>
      </c>
      <c r="AS78" s="21">
        <f t="shared" si="153"/>
        <v>0</v>
      </c>
      <c r="AT78" s="19">
        <v>0</v>
      </c>
      <c r="AU78" s="19">
        <v>0</v>
      </c>
      <c r="AV78" s="19">
        <v>0</v>
      </c>
      <c r="AW78" s="19">
        <v>0</v>
      </c>
      <c r="AX78" s="19">
        <f>BA78</f>
        <v>52.363292231999999</v>
      </c>
      <c r="AY78" s="19">
        <v>0</v>
      </c>
      <c r="AZ78" s="19">
        <v>0</v>
      </c>
      <c r="BA78" s="19">
        <v>52.363292231999999</v>
      </c>
      <c r="BB78" s="19">
        <v>0</v>
      </c>
      <c r="BC78" s="21">
        <f t="shared" si="154"/>
        <v>52.363292231999999</v>
      </c>
      <c r="BD78" s="19">
        <v>0</v>
      </c>
      <c r="BE78" s="19">
        <v>0</v>
      </c>
      <c r="BF78" s="19">
        <v>52.363292231999999</v>
      </c>
      <c r="BG78" s="19">
        <v>0</v>
      </c>
      <c r="BH78" s="19">
        <v>0</v>
      </c>
      <c r="BI78" s="19">
        <v>0</v>
      </c>
      <c r="BJ78" s="19">
        <v>0</v>
      </c>
      <c r="BK78" s="19">
        <v>0</v>
      </c>
      <c r="BL78" s="19">
        <v>0</v>
      </c>
      <c r="BM78" s="21">
        <f t="shared" si="156"/>
        <v>0</v>
      </c>
      <c r="BN78" s="19">
        <v>0</v>
      </c>
      <c r="BO78" s="19">
        <v>0</v>
      </c>
      <c r="BP78" s="19">
        <v>0</v>
      </c>
      <c r="BQ78" s="19">
        <v>0</v>
      </c>
      <c r="BR78" s="19">
        <v>0</v>
      </c>
      <c r="BS78" s="19">
        <v>0</v>
      </c>
      <c r="BT78" s="19">
        <v>0</v>
      </c>
      <c r="BU78" s="19">
        <v>0</v>
      </c>
      <c r="BV78" s="19">
        <v>0</v>
      </c>
      <c r="BW78" s="21">
        <f t="shared" ref="BW78:BW81" si="179">SUM(BX78:CA78)</f>
        <v>0</v>
      </c>
      <c r="BX78" s="19">
        <v>0</v>
      </c>
      <c r="BY78" s="19">
        <v>0</v>
      </c>
      <c r="BZ78" s="19">
        <v>0</v>
      </c>
      <c r="CA78" s="19">
        <v>0</v>
      </c>
      <c r="CB78" s="19">
        <v>0</v>
      </c>
      <c r="CC78" s="19">
        <v>0</v>
      </c>
      <c r="CD78" s="19">
        <v>0</v>
      </c>
      <c r="CE78" s="19">
        <v>0</v>
      </c>
      <c r="CF78" s="19">
        <v>0</v>
      </c>
      <c r="CG78" s="21">
        <f t="shared" si="159"/>
        <v>0</v>
      </c>
      <c r="CH78" s="19">
        <v>0</v>
      </c>
      <c r="CI78" s="19">
        <v>0</v>
      </c>
      <c r="CJ78" s="19">
        <v>0</v>
      </c>
      <c r="CK78" s="19">
        <v>0</v>
      </c>
      <c r="CL78" s="19">
        <v>52.363292231999999</v>
      </c>
      <c r="CM78" s="19">
        <v>0</v>
      </c>
      <c r="CN78" s="19">
        <v>0</v>
      </c>
      <c r="CO78" s="21">
        <f>BA78</f>
        <v>52.363292231999999</v>
      </c>
      <c r="CP78" s="19">
        <v>0</v>
      </c>
      <c r="CQ78" s="21">
        <f t="shared" si="163"/>
        <v>52.363292231999999</v>
      </c>
      <c r="CR78" s="19">
        <v>0</v>
      </c>
      <c r="CS78" s="19">
        <v>0</v>
      </c>
      <c r="CT78" s="21">
        <f t="shared" si="150"/>
        <v>52.363292231999999</v>
      </c>
      <c r="CU78" s="19">
        <v>0</v>
      </c>
      <c r="CV78" s="32" t="s">
        <v>130</v>
      </c>
    </row>
    <row r="79" spans="1:100" s="8" customFormat="1" ht="63" x14ac:dyDescent="0.25">
      <c r="A79" s="24" t="s">
        <v>252</v>
      </c>
      <c r="B79" s="20" t="s">
        <v>262</v>
      </c>
      <c r="C79" s="36" t="s">
        <v>263</v>
      </c>
      <c r="D79" s="16" t="s">
        <v>111</v>
      </c>
      <c r="E79" s="16">
        <v>2027</v>
      </c>
      <c r="F79" s="16">
        <v>2027</v>
      </c>
      <c r="G79" s="16">
        <v>2027</v>
      </c>
      <c r="H79" s="19">
        <f>5.95543664*1.065*1.2</f>
        <v>7.6110480259199988</v>
      </c>
      <c r="I79" s="19">
        <f>40.9913995711399*1.065*1.2</f>
        <v>52.387008651916787</v>
      </c>
      <c r="J79" s="22" t="s">
        <v>255</v>
      </c>
      <c r="K79" s="22">
        <f t="shared" si="177"/>
        <v>7.6110480259199988</v>
      </c>
      <c r="L79" s="22">
        <f t="shared" si="177"/>
        <v>52.387008651916787</v>
      </c>
      <c r="M79" s="22" t="str">
        <f t="shared" si="177"/>
        <v>август 2024 г.</v>
      </c>
      <c r="N79" s="16" t="s">
        <v>103</v>
      </c>
      <c r="O79" s="19">
        <v>0</v>
      </c>
      <c r="P79" s="19">
        <f>77793.33312/1000</f>
        <v>77.79333312</v>
      </c>
      <c r="Q79" s="19">
        <f>92191.315123343/1000</f>
        <v>92.191315123343003</v>
      </c>
      <c r="R79" s="19">
        <f>77793.33312/1000</f>
        <v>77.79333312</v>
      </c>
      <c r="S79" s="19">
        <f>100580.724799567/1000</f>
        <v>100.58072479956701</v>
      </c>
      <c r="T79" s="19">
        <f t="shared" si="172"/>
        <v>67.732324728000009</v>
      </c>
      <c r="U79" s="19">
        <f t="shared" si="178"/>
        <v>67.732324728000009</v>
      </c>
      <c r="V79" s="26">
        <f t="shared" si="169"/>
        <v>67.732324728000009</v>
      </c>
      <c r="W79" s="26">
        <f t="shared" si="170"/>
        <v>67.732324728000009</v>
      </c>
      <c r="X79" s="19">
        <f t="shared" si="151"/>
        <v>67.732324728000009</v>
      </c>
      <c r="Y79" s="19">
        <v>0</v>
      </c>
      <c r="Z79" s="19">
        <v>0</v>
      </c>
      <c r="AA79" s="19">
        <v>0</v>
      </c>
      <c r="AB79" s="19">
        <v>0</v>
      </c>
      <c r="AC79" s="19">
        <v>0</v>
      </c>
      <c r="AD79" s="19">
        <v>0</v>
      </c>
      <c r="AE79" s="19">
        <v>0</v>
      </c>
      <c r="AF79" s="19">
        <v>0</v>
      </c>
      <c r="AG79" s="19">
        <v>0</v>
      </c>
      <c r="AH79" s="19">
        <v>0</v>
      </c>
      <c r="AI79" s="19">
        <f t="shared" si="152"/>
        <v>0</v>
      </c>
      <c r="AJ79" s="19">
        <v>0</v>
      </c>
      <c r="AK79" s="19">
        <v>0</v>
      </c>
      <c r="AL79" s="19">
        <v>0</v>
      </c>
      <c r="AM79" s="19">
        <v>0</v>
      </c>
      <c r="AN79" s="19">
        <v>0</v>
      </c>
      <c r="AO79" s="19">
        <v>0</v>
      </c>
      <c r="AP79" s="19">
        <v>0</v>
      </c>
      <c r="AQ79" s="19">
        <v>0</v>
      </c>
      <c r="AR79" s="19">
        <v>0</v>
      </c>
      <c r="AS79" s="21">
        <f t="shared" si="153"/>
        <v>0</v>
      </c>
      <c r="AT79" s="19">
        <v>0</v>
      </c>
      <c r="AU79" s="19">
        <v>0</v>
      </c>
      <c r="AV79" s="19">
        <v>0</v>
      </c>
      <c r="AW79" s="19">
        <v>0</v>
      </c>
      <c r="AX79" s="19">
        <v>0</v>
      </c>
      <c r="AY79" s="19">
        <v>0</v>
      </c>
      <c r="AZ79" s="19">
        <v>0</v>
      </c>
      <c r="BA79" s="19">
        <v>0</v>
      </c>
      <c r="BB79" s="19">
        <v>0</v>
      </c>
      <c r="BC79" s="21">
        <f t="shared" si="154"/>
        <v>0</v>
      </c>
      <c r="BD79" s="19">
        <v>0</v>
      </c>
      <c r="BE79" s="19">
        <v>0</v>
      </c>
      <c r="BF79" s="19">
        <v>0</v>
      </c>
      <c r="BG79" s="19">
        <v>0</v>
      </c>
      <c r="BH79" s="19">
        <f>BK79</f>
        <v>67.732324728000009</v>
      </c>
      <c r="BI79" s="19">
        <v>0</v>
      </c>
      <c r="BJ79" s="19">
        <v>0</v>
      </c>
      <c r="BK79" s="19">
        <f>67732.324728/1000</f>
        <v>67.732324728000009</v>
      </c>
      <c r="BL79" s="19">
        <v>0</v>
      </c>
      <c r="BM79" s="21">
        <f t="shared" si="156"/>
        <v>67.732324728000009</v>
      </c>
      <c r="BN79" s="19">
        <v>0</v>
      </c>
      <c r="BO79" s="19">
        <v>0</v>
      </c>
      <c r="BP79" s="19">
        <f>BK79</f>
        <v>67.732324728000009</v>
      </c>
      <c r="BQ79" s="19">
        <v>0</v>
      </c>
      <c r="BR79" s="19">
        <v>0</v>
      </c>
      <c r="BS79" s="19">
        <v>0</v>
      </c>
      <c r="BT79" s="19">
        <v>0</v>
      </c>
      <c r="BU79" s="19">
        <v>0</v>
      </c>
      <c r="BV79" s="19">
        <v>0</v>
      </c>
      <c r="BW79" s="21">
        <f t="shared" si="179"/>
        <v>0</v>
      </c>
      <c r="BX79" s="19">
        <v>0</v>
      </c>
      <c r="BY79" s="19">
        <v>0</v>
      </c>
      <c r="BZ79" s="19">
        <v>0</v>
      </c>
      <c r="CA79" s="19">
        <v>0</v>
      </c>
      <c r="CB79" s="19">
        <v>0</v>
      </c>
      <c r="CC79" s="19">
        <v>0</v>
      </c>
      <c r="CD79" s="19">
        <v>0</v>
      </c>
      <c r="CE79" s="19">
        <v>0</v>
      </c>
      <c r="CF79" s="19">
        <v>0</v>
      </c>
      <c r="CG79" s="21">
        <f t="shared" si="159"/>
        <v>0</v>
      </c>
      <c r="CH79" s="19">
        <v>0</v>
      </c>
      <c r="CI79" s="19">
        <v>0</v>
      </c>
      <c r="CJ79" s="19">
        <v>0</v>
      </c>
      <c r="CK79" s="19">
        <v>0</v>
      </c>
      <c r="CL79" s="19">
        <v>67.732324728000009</v>
      </c>
      <c r="CM79" s="19">
        <v>0</v>
      </c>
      <c r="CN79" s="19">
        <v>0</v>
      </c>
      <c r="CO79" s="21">
        <f>BK79</f>
        <v>67.732324728000009</v>
      </c>
      <c r="CP79" s="19">
        <v>0</v>
      </c>
      <c r="CQ79" s="21">
        <f t="shared" si="163"/>
        <v>67.732324728000009</v>
      </c>
      <c r="CR79" s="19">
        <v>0</v>
      </c>
      <c r="CS79" s="19">
        <v>0</v>
      </c>
      <c r="CT79" s="21">
        <f t="shared" si="150"/>
        <v>67.732324728000009</v>
      </c>
      <c r="CU79" s="19">
        <v>0</v>
      </c>
      <c r="CV79" s="32" t="s">
        <v>130</v>
      </c>
    </row>
    <row r="80" spans="1:100" s="8" customFormat="1" ht="63" x14ac:dyDescent="0.25">
      <c r="A80" s="24" t="s">
        <v>253</v>
      </c>
      <c r="B80" s="20" t="s">
        <v>261</v>
      </c>
      <c r="C80" s="36" t="s">
        <v>264</v>
      </c>
      <c r="D80" s="16" t="s">
        <v>111</v>
      </c>
      <c r="E80" s="16">
        <v>2028</v>
      </c>
      <c r="F80" s="16">
        <v>2028</v>
      </c>
      <c r="G80" s="16">
        <v>2028</v>
      </c>
      <c r="H80" s="19">
        <f>5.95543664*1.065*1.2</f>
        <v>7.6110480259199988</v>
      </c>
      <c r="I80" s="19">
        <f>40.9913995711399*1.065*1.2</f>
        <v>52.387008651916787</v>
      </c>
      <c r="J80" s="22" t="s">
        <v>255</v>
      </c>
      <c r="K80" s="22">
        <f t="shared" si="177"/>
        <v>7.6110480259199988</v>
      </c>
      <c r="L80" s="22">
        <f t="shared" si="177"/>
        <v>52.387008651916787</v>
      </c>
      <c r="M80" s="22" t="str">
        <f t="shared" si="177"/>
        <v>август 2024 г.</v>
      </c>
      <c r="N80" s="16" t="s">
        <v>103</v>
      </c>
      <c r="O80" s="19">
        <v>0</v>
      </c>
      <c r="P80" s="19">
        <v>77.79333312</v>
      </c>
      <c r="Q80" s="19">
        <v>96.247732988769997</v>
      </c>
      <c r="R80" s="19">
        <f>77793.33312/1000</f>
        <v>77.79333312</v>
      </c>
      <c r="S80" s="19">
        <f>105006.276690748/1000</f>
        <v>105.006276690748</v>
      </c>
      <c r="T80" s="19">
        <f t="shared" si="172"/>
        <v>70.712547024000003</v>
      </c>
      <c r="U80" s="19">
        <f t="shared" si="178"/>
        <v>70.712547024000003</v>
      </c>
      <c r="V80" s="26">
        <f t="shared" si="169"/>
        <v>70.712547024000003</v>
      </c>
      <c r="W80" s="26">
        <f t="shared" si="170"/>
        <v>70.712547024000003</v>
      </c>
      <c r="X80" s="19">
        <f t="shared" si="151"/>
        <v>70.712547024000003</v>
      </c>
      <c r="Y80" s="19">
        <v>0</v>
      </c>
      <c r="Z80" s="19">
        <v>0</v>
      </c>
      <c r="AA80" s="19">
        <v>0</v>
      </c>
      <c r="AB80" s="19">
        <v>0</v>
      </c>
      <c r="AC80" s="19">
        <v>0</v>
      </c>
      <c r="AD80" s="19">
        <v>0</v>
      </c>
      <c r="AE80" s="19">
        <v>0</v>
      </c>
      <c r="AF80" s="19">
        <v>0</v>
      </c>
      <c r="AG80" s="19">
        <v>0</v>
      </c>
      <c r="AH80" s="19">
        <v>0</v>
      </c>
      <c r="AI80" s="19">
        <f t="shared" si="152"/>
        <v>0</v>
      </c>
      <c r="AJ80" s="19">
        <v>0</v>
      </c>
      <c r="AK80" s="19">
        <v>0</v>
      </c>
      <c r="AL80" s="19">
        <v>0</v>
      </c>
      <c r="AM80" s="19">
        <v>0</v>
      </c>
      <c r="AN80" s="19">
        <v>0</v>
      </c>
      <c r="AO80" s="19">
        <v>0</v>
      </c>
      <c r="AP80" s="19">
        <v>0</v>
      </c>
      <c r="AQ80" s="19">
        <v>0</v>
      </c>
      <c r="AR80" s="19">
        <v>0</v>
      </c>
      <c r="AS80" s="21">
        <f t="shared" si="153"/>
        <v>0</v>
      </c>
      <c r="AT80" s="19">
        <v>0</v>
      </c>
      <c r="AU80" s="19">
        <v>0</v>
      </c>
      <c r="AV80" s="19">
        <v>0</v>
      </c>
      <c r="AW80" s="19">
        <v>0</v>
      </c>
      <c r="AX80" s="19">
        <v>0</v>
      </c>
      <c r="AY80" s="19">
        <v>0</v>
      </c>
      <c r="AZ80" s="19">
        <v>0</v>
      </c>
      <c r="BA80" s="19">
        <v>0</v>
      </c>
      <c r="BB80" s="19">
        <v>0</v>
      </c>
      <c r="BC80" s="21">
        <f t="shared" si="154"/>
        <v>0</v>
      </c>
      <c r="BD80" s="19">
        <v>0</v>
      </c>
      <c r="BE80" s="19">
        <v>0</v>
      </c>
      <c r="BF80" s="19">
        <v>0</v>
      </c>
      <c r="BG80" s="19">
        <v>0</v>
      </c>
      <c r="BH80" s="19">
        <v>0</v>
      </c>
      <c r="BI80" s="19">
        <v>0</v>
      </c>
      <c r="BJ80" s="19">
        <v>0</v>
      </c>
      <c r="BK80" s="19">
        <v>0</v>
      </c>
      <c r="BL80" s="19">
        <v>0</v>
      </c>
      <c r="BM80" s="21">
        <f t="shared" si="156"/>
        <v>0</v>
      </c>
      <c r="BN80" s="19">
        <v>0</v>
      </c>
      <c r="BO80" s="19">
        <v>0</v>
      </c>
      <c r="BP80" s="19">
        <v>0</v>
      </c>
      <c r="BQ80" s="19">
        <v>0</v>
      </c>
      <c r="BR80" s="19">
        <f>BU80</f>
        <v>70.712547024000003</v>
      </c>
      <c r="BS80" s="19">
        <v>0</v>
      </c>
      <c r="BT80" s="19">
        <v>0</v>
      </c>
      <c r="BU80" s="19">
        <v>70.712547024000003</v>
      </c>
      <c r="BV80" s="19">
        <v>0</v>
      </c>
      <c r="BW80" s="21">
        <f t="shared" si="179"/>
        <v>70.712547024000003</v>
      </c>
      <c r="BX80" s="19">
        <v>0</v>
      </c>
      <c r="BY80" s="19">
        <v>0</v>
      </c>
      <c r="BZ80" s="19">
        <f>BU80</f>
        <v>70.712547024000003</v>
      </c>
      <c r="CA80" s="19">
        <v>0</v>
      </c>
      <c r="CB80" s="19">
        <v>0</v>
      </c>
      <c r="CC80" s="19">
        <v>0</v>
      </c>
      <c r="CD80" s="19">
        <v>0</v>
      </c>
      <c r="CE80" s="19">
        <v>0</v>
      </c>
      <c r="CF80" s="19">
        <v>0</v>
      </c>
      <c r="CG80" s="21">
        <f t="shared" si="159"/>
        <v>0</v>
      </c>
      <c r="CH80" s="19">
        <v>0</v>
      </c>
      <c r="CI80" s="19">
        <v>0</v>
      </c>
      <c r="CJ80" s="19">
        <v>0</v>
      </c>
      <c r="CK80" s="19">
        <v>0</v>
      </c>
      <c r="CL80" s="19">
        <v>70.712547024000003</v>
      </c>
      <c r="CM80" s="19">
        <v>0</v>
      </c>
      <c r="CN80" s="19">
        <v>0</v>
      </c>
      <c r="CO80" s="21">
        <f>BU80</f>
        <v>70.712547024000003</v>
      </c>
      <c r="CP80" s="19">
        <v>0</v>
      </c>
      <c r="CQ80" s="21">
        <f t="shared" si="163"/>
        <v>70.712547024000003</v>
      </c>
      <c r="CR80" s="19">
        <v>0</v>
      </c>
      <c r="CS80" s="19">
        <v>0</v>
      </c>
      <c r="CT80" s="21">
        <f t="shared" si="150"/>
        <v>70.712547024000003</v>
      </c>
      <c r="CU80" s="19">
        <v>0</v>
      </c>
      <c r="CV80" s="32" t="s">
        <v>130</v>
      </c>
    </row>
    <row r="81" spans="1:100" s="8" customFormat="1" ht="63" x14ac:dyDescent="0.25">
      <c r="A81" s="24" t="s">
        <v>254</v>
      </c>
      <c r="B81" s="20" t="s">
        <v>266</v>
      </c>
      <c r="C81" s="36" t="s">
        <v>265</v>
      </c>
      <c r="D81" s="16" t="s">
        <v>111</v>
      </c>
      <c r="E81" s="16">
        <v>2029</v>
      </c>
      <c r="F81" s="16">
        <v>2029</v>
      </c>
      <c r="G81" s="16">
        <v>2029</v>
      </c>
      <c r="H81" s="19">
        <f>0.8741956*1.065*1.2</f>
        <v>1.1172219767999998</v>
      </c>
      <c r="I81" s="19">
        <f>7.59844284761589*1.065*1.2</f>
        <v>9.7108099592531065</v>
      </c>
      <c r="J81" s="22" t="s">
        <v>255</v>
      </c>
      <c r="K81" s="22">
        <f t="shared" si="177"/>
        <v>1.1172219767999998</v>
      </c>
      <c r="L81" s="22">
        <f t="shared" si="177"/>
        <v>9.7108099592531065</v>
      </c>
      <c r="M81" s="22" t="str">
        <f t="shared" si="177"/>
        <v>август 2024 г.</v>
      </c>
      <c r="N81" s="16" t="s">
        <v>103</v>
      </c>
      <c r="O81" s="19">
        <v>0</v>
      </c>
      <c r="P81" s="19">
        <f>13605.9564/1000</f>
        <v>13.605956399999998</v>
      </c>
      <c r="Q81" s="19">
        <f>17574.2865357816/1000</f>
        <v>17.574286535781599</v>
      </c>
      <c r="R81" s="19">
        <f>13605.9564/1000</f>
        <v>13.605956399999998</v>
      </c>
      <c r="S81" s="19">
        <f>19173.5466105377/1000</f>
        <v>19.173546610537702</v>
      </c>
      <c r="T81" s="19">
        <f>13684.496844/1000</f>
        <v>13.684496844</v>
      </c>
      <c r="U81" s="19">
        <f t="shared" si="178"/>
        <v>13.684496844</v>
      </c>
      <c r="V81" s="26">
        <f t="shared" si="169"/>
        <v>13.684496844</v>
      </c>
      <c r="W81" s="26">
        <f t="shared" si="170"/>
        <v>13.684496844</v>
      </c>
      <c r="X81" s="19">
        <f t="shared" si="151"/>
        <v>13.684496844</v>
      </c>
      <c r="Y81" s="19">
        <v>0</v>
      </c>
      <c r="Z81" s="19">
        <v>0</v>
      </c>
      <c r="AA81" s="19">
        <v>0</v>
      </c>
      <c r="AB81" s="19">
        <v>0</v>
      </c>
      <c r="AC81" s="19">
        <v>0</v>
      </c>
      <c r="AD81" s="19">
        <v>0</v>
      </c>
      <c r="AE81" s="19">
        <v>0</v>
      </c>
      <c r="AF81" s="19">
        <v>0</v>
      </c>
      <c r="AG81" s="19">
        <v>0</v>
      </c>
      <c r="AH81" s="19">
        <v>0</v>
      </c>
      <c r="AI81" s="19">
        <f t="shared" si="152"/>
        <v>0</v>
      </c>
      <c r="AJ81" s="19">
        <v>0</v>
      </c>
      <c r="AK81" s="19">
        <v>0</v>
      </c>
      <c r="AL81" s="19">
        <v>0</v>
      </c>
      <c r="AM81" s="19">
        <v>0</v>
      </c>
      <c r="AN81" s="19">
        <v>0</v>
      </c>
      <c r="AO81" s="19">
        <v>0</v>
      </c>
      <c r="AP81" s="19">
        <v>0</v>
      </c>
      <c r="AQ81" s="19">
        <v>0</v>
      </c>
      <c r="AR81" s="19">
        <v>0</v>
      </c>
      <c r="AS81" s="21">
        <f t="shared" si="153"/>
        <v>0</v>
      </c>
      <c r="AT81" s="19">
        <v>0</v>
      </c>
      <c r="AU81" s="19">
        <v>0</v>
      </c>
      <c r="AV81" s="19">
        <v>0</v>
      </c>
      <c r="AW81" s="19">
        <v>0</v>
      </c>
      <c r="AX81" s="19">
        <v>0</v>
      </c>
      <c r="AY81" s="19">
        <v>0</v>
      </c>
      <c r="AZ81" s="19">
        <v>0</v>
      </c>
      <c r="BA81" s="19">
        <v>0</v>
      </c>
      <c r="BB81" s="19">
        <v>0</v>
      </c>
      <c r="BC81" s="21">
        <f t="shared" si="154"/>
        <v>0</v>
      </c>
      <c r="BD81" s="19">
        <v>0</v>
      </c>
      <c r="BE81" s="19">
        <v>0</v>
      </c>
      <c r="BF81" s="19">
        <v>0</v>
      </c>
      <c r="BG81" s="19">
        <v>0</v>
      </c>
      <c r="BH81" s="19">
        <v>0</v>
      </c>
      <c r="BI81" s="19">
        <v>0</v>
      </c>
      <c r="BJ81" s="19">
        <v>0</v>
      </c>
      <c r="BK81" s="19">
        <v>0</v>
      </c>
      <c r="BL81" s="19">
        <v>0</v>
      </c>
      <c r="BM81" s="21">
        <f t="shared" si="156"/>
        <v>0</v>
      </c>
      <c r="BN81" s="19">
        <v>0</v>
      </c>
      <c r="BO81" s="19">
        <v>0</v>
      </c>
      <c r="BP81" s="19">
        <v>0</v>
      </c>
      <c r="BQ81" s="19">
        <v>0</v>
      </c>
      <c r="BR81" s="19">
        <v>0</v>
      </c>
      <c r="BS81" s="19">
        <v>0</v>
      </c>
      <c r="BT81" s="19">
        <v>0</v>
      </c>
      <c r="BU81" s="19">
        <v>0</v>
      </c>
      <c r="BV81" s="19">
        <v>0</v>
      </c>
      <c r="BW81" s="21">
        <f t="shared" si="179"/>
        <v>0</v>
      </c>
      <c r="BX81" s="19">
        <v>0</v>
      </c>
      <c r="BY81" s="19">
        <v>0</v>
      </c>
      <c r="BZ81" s="19">
        <v>0</v>
      </c>
      <c r="CA81" s="19">
        <v>0</v>
      </c>
      <c r="CB81" s="19">
        <f>CE81</f>
        <v>13.684496844</v>
      </c>
      <c r="CC81" s="19">
        <v>0</v>
      </c>
      <c r="CD81" s="19">
        <v>0</v>
      </c>
      <c r="CE81" s="19">
        <v>13.684496844</v>
      </c>
      <c r="CF81" s="19">
        <v>0</v>
      </c>
      <c r="CG81" s="21">
        <f t="shared" si="159"/>
        <v>13.684496844</v>
      </c>
      <c r="CH81" s="19">
        <v>0</v>
      </c>
      <c r="CI81" s="19">
        <v>0</v>
      </c>
      <c r="CJ81" s="19">
        <f>CE81</f>
        <v>13.684496844</v>
      </c>
      <c r="CK81" s="19">
        <v>0</v>
      </c>
      <c r="CL81" s="19">
        <v>13.684496844</v>
      </c>
      <c r="CM81" s="19">
        <v>0</v>
      </c>
      <c r="CN81" s="19">
        <v>0</v>
      </c>
      <c r="CO81" s="21">
        <f>CE81</f>
        <v>13.684496844</v>
      </c>
      <c r="CP81" s="19">
        <v>0</v>
      </c>
      <c r="CQ81" s="21">
        <f t="shared" si="163"/>
        <v>13.684496844</v>
      </c>
      <c r="CR81" s="19">
        <v>0</v>
      </c>
      <c r="CS81" s="19">
        <v>0</v>
      </c>
      <c r="CT81" s="21">
        <f t="shared" si="150"/>
        <v>13.684496844</v>
      </c>
      <c r="CU81" s="19">
        <v>0</v>
      </c>
      <c r="CV81" s="32" t="s">
        <v>130</v>
      </c>
    </row>
    <row r="82" spans="1:100" s="8" customFormat="1" ht="63" x14ac:dyDescent="0.25">
      <c r="A82" s="17" t="s">
        <v>59</v>
      </c>
      <c r="B82" s="18" t="s">
        <v>60</v>
      </c>
      <c r="C82" s="16" t="s">
        <v>112</v>
      </c>
      <c r="D82" s="16" t="s">
        <v>103</v>
      </c>
      <c r="E82" s="16" t="s">
        <v>103</v>
      </c>
      <c r="F82" s="16" t="s">
        <v>103</v>
      </c>
      <c r="G82" s="16" t="s">
        <v>103</v>
      </c>
      <c r="H82" s="19" t="s">
        <v>103</v>
      </c>
      <c r="I82" s="19" t="s">
        <v>103</v>
      </c>
      <c r="J82" s="19" t="s">
        <v>103</v>
      </c>
      <c r="K82" s="19" t="s">
        <v>103</v>
      </c>
      <c r="L82" s="19" t="s">
        <v>103</v>
      </c>
      <c r="M82" s="19" t="s">
        <v>103</v>
      </c>
      <c r="N82" s="19" t="s">
        <v>103</v>
      </c>
      <c r="O82" s="19" t="s">
        <v>103</v>
      </c>
      <c r="P82" s="19" t="s">
        <v>103</v>
      </c>
      <c r="Q82" s="19" t="s">
        <v>103</v>
      </c>
      <c r="R82" s="19" t="s">
        <v>103</v>
      </c>
      <c r="S82" s="19" t="s">
        <v>103</v>
      </c>
      <c r="T82" s="19" t="s">
        <v>103</v>
      </c>
      <c r="U82" s="19" t="s">
        <v>103</v>
      </c>
      <c r="V82" s="26" t="str">
        <f t="shared" si="169"/>
        <v>нд</v>
      </c>
      <c r="W82" s="26" t="s">
        <v>103</v>
      </c>
      <c r="X82" s="19" t="s">
        <v>103</v>
      </c>
      <c r="Y82" s="19" t="s">
        <v>103</v>
      </c>
      <c r="Z82" s="19" t="s">
        <v>103</v>
      </c>
      <c r="AA82" s="19" t="s">
        <v>103</v>
      </c>
      <c r="AB82" s="19" t="s">
        <v>103</v>
      </c>
      <c r="AC82" s="19" t="s">
        <v>103</v>
      </c>
      <c r="AD82" s="19" t="s">
        <v>103</v>
      </c>
      <c r="AE82" s="19" t="s">
        <v>103</v>
      </c>
      <c r="AF82" s="19" t="s">
        <v>103</v>
      </c>
      <c r="AG82" s="19" t="s">
        <v>103</v>
      </c>
      <c r="AH82" s="19" t="s">
        <v>103</v>
      </c>
      <c r="AI82" s="19" t="s">
        <v>103</v>
      </c>
      <c r="AJ82" s="19" t="s">
        <v>103</v>
      </c>
      <c r="AK82" s="19" t="s">
        <v>103</v>
      </c>
      <c r="AL82" s="19" t="s">
        <v>103</v>
      </c>
      <c r="AM82" s="19" t="s">
        <v>103</v>
      </c>
      <c r="AN82" s="19" t="s">
        <v>103</v>
      </c>
      <c r="AO82" s="19" t="s">
        <v>103</v>
      </c>
      <c r="AP82" s="19" t="s">
        <v>103</v>
      </c>
      <c r="AQ82" s="19" t="s">
        <v>103</v>
      </c>
      <c r="AR82" s="19" t="s">
        <v>103</v>
      </c>
      <c r="AS82" s="19" t="s">
        <v>103</v>
      </c>
      <c r="AT82" s="19" t="s">
        <v>103</v>
      </c>
      <c r="AU82" s="19" t="s">
        <v>103</v>
      </c>
      <c r="AV82" s="19" t="s">
        <v>103</v>
      </c>
      <c r="AW82" s="19" t="s">
        <v>103</v>
      </c>
      <c r="AX82" s="19" t="s">
        <v>103</v>
      </c>
      <c r="AY82" s="19" t="s">
        <v>103</v>
      </c>
      <c r="AZ82" s="19" t="s">
        <v>103</v>
      </c>
      <c r="BA82" s="19" t="s">
        <v>103</v>
      </c>
      <c r="BB82" s="19" t="s">
        <v>103</v>
      </c>
      <c r="BC82" s="19" t="s">
        <v>103</v>
      </c>
      <c r="BD82" s="19" t="s">
        <v>103</v>
      </c>
      <c r="BE82" s="19" t="s">
        <v>103</v>
      </c>
      <c r="BF82" s="19" t="s">
        <v>103</v>
      </c>
      <c r="BG82" s="19" t="s">
        <v>103</v>
      </c>
      <c r="BH82" s="19" t="s">
        <v>103</v>
      </c>
      <c r="BI82" s="19" t="s">
        <v>103</v>
      </c>
      <c r="BJ82" s="19" t="s">
        <v>103</v>
      </c>
      <c r="BK82" s="19" t="s">
        <v>103</v>
      </c>
      <c r="BL82" s="19" t="s">
        <v>103</v>
      </c>
      <c r="BM82" s="19" t="s">
        <v>103</v>
      </c>
      <c r="BN82" s="19" t="s">
        <v>103</v>
      </c>
      <c r="BO82" s="19" t="s">
        <v>103</v>
      </c>
      <c r="BP82" s="19" t="s">
        <v>103</v>
      </c>
      <c r="BQ82" s="19" t="s">
        <v>103</v>
      </c>
      <c r="BR82" s="19" t="s">
        <v>103</v>
      </c>
      <c r="BS82" s="19" t="s">
        <v>103</v>
      </c>
      <c r="BT82" s="19" t="s">
        <v>103</v>
      </c>
      <c r="BU82" s="19" t="s">
        <v>103</v>
      </c>
      <c r="BV82" s="19" t="s">
        <v>103</v>
      </c>
      <c r="BW82" s="19" t="s">
        <v>103</v>
      </c>
      <c r="BX82" s="19" t="s">
        <v>103</v>
      </c>
      <c r="BY82" s="19" t="s">
        <v>103</v>
      </c>
      <c r="BZ82" s="19" t="s">
        <v>103</v>
      </c>
      <c r="CA82" s="19" t="s">
        <v>103</v>
      </c>
      <c r="CB82" s="19" t="s">
        <v>103</v>
      </c>
      <c r="CC82" s="19" t="s">
        <v>103</v>
      </c>
      <c r="CD82" s="19" t="s">
        <v>103</v>
      </c>
      <c r="CE82" s="19" t="s">
        <v>103</v>
      </c>
      <c r="CF82" s="19" t="s">
        <v>103</v>
      </c>
      <c r="CG82" s="19" t="s">
        <v>103</v>
      </c>
      <c r="CH82" s="19" t="s">
        <v>103</v>
      </c>
      <c r="CI82" s="19" t="s">
        <v>103</v>
      </c>
      <c r="CJ82" s="19" t="s">
        <v>103</v>
      </c>
      <c r="CK82" s="19" t="s">
        <v>103</v>
      </c>
      <c r="CL82" s="19" t="s">
        <v>103</v>
      </c>
      <c r="CM82" s="19" t="s">
        <v>103</v>
      </c>
      <c r="CN82" s="19" t="s">
        <v>103</v>
      </c>
      <c r="CO82" s="21" t="s">
        <v>103</v>
      </c>
      <c r="CP82" s="19" t="s">
        <v>103</v>
      </c>
      <c r="CQ82" s="19" t="s">
        <v>103</v>
      </c>
      <c r="CR82" s="19" t="s">
        <v>103</v>
      </c>
      <c r="CS82" s="19" t="s">
        <v>103</v>
      </c>
      <c r="CT82" s="19" t="s">
        <v>103</v>
      </c>
      <c r="CU82" s="19" t="s">
        <v>103</v>
      </c>
      <c r="CV82" s="16" t="s">
        <v>103</v>
      </c>
    </row>
    <row r="83" spans="1:100" s="8" customFormat="1" ht="47.25" x14ac:dyDescent="0.25">
      <c r="A83" s="17" t="s">
        <v>61</v>
      </c>
      <c r="B83" s="18" t="s">
        <v>62</v>
      </c>
      <c r="C83" s="16" t="s">
        <v>103</v>
      </c>
      <c r="D83" s="16" t="s">
        <v>103</v>
      </c>
      <c r="E83" s="16" t="s">
        <v>103</v>
      </c>
      <c r="F83" s="16" t="s">
        <v>103</v>
      </c>
      <c r="G83" s="16" t="s">
        <v>103</v>
      </c>
      <c r="H83" s="19">
        <f>H84+H88</f>
        <v>5.273527842</v>
      </c>
      <c r="I83" s="19">
        <f>I84+I88</f>
        <v>48.642874804779993</v>
      </c>
      <c r="J83" s="19">
        <f>J84</f>
        <v>0</v>
      </c>
      <c r="K83" s="19">
        <f>K84+K88</f>
        <v>6.0648822180000002</v>
      </c>
      <c r="L83" s="19">
        <f>L84+L88</f>
        <v>56.001745722540001</v>
      </c>
      <c r="M83" s="19">
        <f t="shared" ref="M83" si="180">M84</f>
        <v>0</v>
      </c>
      <c r="N83" s="19">
        <f t="shared" ref="N83:O83" si="181">N84</f>
        <v>0</v>
      </c>
      <c r="O83" s="19">
        <f t="shared" si="181"/>
        <v>0</v>
      </c>
      <c r="P83" s="19">
        <f>P84+P88</f>
        <v>122.14868907095999</v>
      </c>
      <c r="Q83" s="19">
        <f t="shared" ref="Q83:CP83" si="182">Q84+Q88</f>
        <v>143.91139538269533</v>
      </c>
      <c r="R83" s="19">
        <f t="shared" si="182"/>
        <v>123.70678953359999</v>
      </c>
      <c r="S83" s="19">
        <f t="shared" si="182"/>
        <v>162.85144823593757</v>
      </c>
      <c r="T83" s="19">
        <f t="shared" si="182"/>
        <v>60.194272486380001</v>
      </c>
      <c r="U83" s="19">
        <f t="shared" si="182"/>
        <v>66.490853071860002</v>
      </c>
      <c r="V83" s="26">
        <f t="shared" si="169"/>
        <v>60.194272486380001</v>
      </c>
      <c r="W83" s="26">
        <f>T83-Y83-AD83</f>
        <v>58.502617840379997</v>
      </c>
      <c r="X83" s="19">
        <f t="shared" si="182"/>
        <v>64.918748803859998</v>
      </c>
      <c r="Y83" s="19">
        <f t="shared" ref="Y83:AM83" si="183">Y84+Y88</f>
        <v>0</v>
      </c>
      <c r="Z83" s="19">
        <f t="shared" si="183"/>
        <v>0</v>
      </c>
      <c r="AA83" s="19">
        <f t="shared" si="183"/>
        <v>0</v>
      </c>
      <c r="AB83" s="19">
        <f t="shared" si="183"/>
        <v>0</v>
      </c>
      <c r="AC83" s="19">
        <f t="shared" si="183"/>
        <v>0</v>
      </c>
      <c r="AD83" s="19">
        <f t="shared" si="183"/>
        <v>1.6916546459999999</v>
      </c>
      <c r="AE83" s="19">
        <f t="shared" si="183"/>
        <v>0</v>
      </c>
      <c r="AF83" s="19">
        <f t="shared" si="183"/>
        <v>0</v>
      </c>
      <c r="AG83" s="19">
        <f t="shared" si="183"/>
        <v>1.6916546459999999</v>
      </c>
      <c r="AH83" s="19">
        <f t="shared" si="183"/>
        <v>0</v>
      </c>
      <c r="AI83" s="19">
        <f t="shared" si="183"/>
        <v>1.5721042679999999</v>
      </c>
      <c r="AJ83" s="19">
        <f t="shared" si="183"/>
        <v>0</v>
      </c>
      <c r="AK83" s="19">
        <f t="shared" si="183"/>
        <v>0</v>
      </c>
      <c r="AL83" s="19">
        <f t="shared" si="183"/>
        <v>1.5721042679999999</v>
      </c>
      <c r="AM83" s="19">
        <f t="shared" si="183"/>
        <v>0</v>
      </c>
      <c r="AN83" s="19">
        <f t="shared" si="182"/>
        <v>17.329469187840001</v>
      </c>
      <c r="AO83" s="19">
        <f t="shared" si="182"/>
        <v>0</v>
      </c>
      <c r="AP83" s="19">
        <f t="shared" si="182"/>
        <v>0</v>
      </c>
      <c r="AQ83" s="19">
        <f t="shared" si="182"/>
        <v>17.329469187840001</v>
      </c>
      <c r="AR83" s="19">
        <f t="shared" si="182"/>
        <v>0</v>
      </c>
      <c r="AS83" s="19">
        <f t="shared" si="182"/>
        <v>23.745600151319998</v>
      </c>
      <c r="AT83" s="19">
        <f t="shared" si="182"/>
        <v>0</v>
      </c>
      <c r="AU83" s="19">
        <f t="shared" si="182"/>
        <v>0</v>
      </c>
      <c r="AV83" s="19">
        <f t="shared" si="182"/>
        <v>23.745600151319998</v>
      </c>
      <c r="AW83" s="19">
        <f t="shared" si="182"/>
        <v>0</v>
      </c>
      <c r="AX83" s="19">
        <f t="shared" si="182"/>
        <v>0</v>
      </c>
      <c r="AY83" s="19">
        <f t="shared" si="182"/>
        <v>0</v>
      </c>
      <c r="AZ83" s="19">
        <f t="shared" si="182"/>
        <v>0</v>
      </c>
      <c r="BA83" s="19">
        <f t="shared" si="182"/>
        <v>0</v>
      </c>
      <c r="BB83" s="19">
        <f t="shared" si="182"/>
        <v>0</v>
      </c>
      <c r="BC83" s="19">
        <f t="shared" si="182"/>
        <v>0</v>
      </c>
      <c r="BD83" s="19">
        <f t="shared" si="182"/>
        <v>0</v>
      </c>
      <c r="BE83" s="19">
        <f t="shared" si="182"/>
        <v>0</v>
      </c>
      <c r="BF83" s="19">
        <f t="shared" si="182"/>
        <v>0</v>
      </c>
      <c r="BG83" s="19">
        <f t="shared" si="182"/>
        <v>0</v>
      </c>
      <c r="BH83" s="19">
        <f t="shared" si="182"/>
        <v>0</v>
      </c>
      <c r="BI83" s="19">
        <f t="shared" si="182"/>
        <v>0</v>
      </c>
      <c r="BJ83" s="19">
        <f t="shared" si="182"/>
        <v>0</v>
      </c>
      <c r="BK83" s="19">
        <f t="shared" si="182"/>
        <v>0</v>
      </c>
      <c r="BL83" s="19">
        <f t="shared" si="182"/>
        <v>0</v>
      </c>
      <c r="BM83" s="19">
        <f t="shared" si="182"/>
        <v>0</v>
      </c>
      <c r="BN83" s="19">
        <f t="shared" si="182"/>
        <v>0</v>
      </c>
      <c r="BO83" s="19">
        <f t="shared" si="182"/>
        <v>0</v>
      </c>
      <c r="BP83" s="19">
        <f t="shared" si="182"/>
        <v>0</v>
      </c>
      <c r="BQ83" s="19">
        <f t="shared" si="182"/>
        <v>0</v>
      </c>
      <c r="BR83" s="19">
        <f t="shared" si="182"/>
        <v>4.3720379280000001</v>
      </c>
      <c r="BS83" s="19">
        <f t="shared" si="182"/>
        <v>0</v>
      </c>
      <c r="BT83" s="19">
        <f t="shared" si="182"/>
        <v>0</v>
      </c>
      <c r="BU83" s="19">
        <f t="shared" si="182"/>
        <v>4.3720379280000001</v>
      </c>
      <c r="BV83" s="19">
        <f t="shared" si="182"/>
        <v>0</v>
      </c>
      <c r="BW83" s="19">
        <f t="shared" si="182"/>
        <v>4.3720379280000001</v>
      </c>
      <c r="BX83" s="19">
        <f t="shared" si="182"/>
        <v>0</v>
      </c>
      <c r="BY83" s="19">
        <f t="shared" si="182"/>
        <v>0</v>
      </c>
      <c r="BZ83" s="19">
        <f t="shared" si="182"/>
        <v>4.3720379280000001</v>
      </c>
      <c r="CA83" s="19">
        <f t="shared" si="182"/>
        <v>0</v>
      </c>
      <c r="CB83" s="19">
        <f t="shared" si="182"/>
        <v>36.801110724540003</v>
      </c>
      <c r="CC83" s="19">
        <f t="shared" si="182"/>
        <v>0</v>
      </c>
      <c r="CD83" s="19">
        <f t="shared" si="182"/>
        <v>0</v>
      </c>
      <c r="CE83" s="19">
        <f>CE84+CE88</f>
        <v>36.801110724540003</v>
      </c>
      <c r="CF83" s="19">
        <f t="shared" si="182"/>
        <v>0</v>
      </c>
      <c r="CG83" s="19">
        <f t="shared" si="182"/>
        <v>36.801110724540003</v>
      </c>
      <c r="CH83" s="19">
        <f t="shared" si="182"/>
        <v>0</v>
      </c>
      <c r="CI83" s="19">
        <f t="shared" si="182"/>
        <v>0</v>
      </c>
      <c r="CJ83" s="19">
        <f t="shared" si="182"/>
        <v>36.801110724540003</v>
      </c>
      <c r="CK83" s="19">
        <f t="shared" si="182"/>
        <v>0</v>
      </c>
      <c r="CL83" s="19">
        <v>60.194272486380001</v>
      </c>
      <c r="CM83" s="19">
        <f t="shared" si="182"/>
        <v>0</v>
      </c>
      <c r="CN83" s="19">
        <f t="shared" si="182"/>
        <v>0</v>
      </c>
      <c r="CO83" s="19">
        <f t="shared" si="182"/>
        <v>60.194272486380001</v>
      </c>
      <c r="CP83" s="19">
        <f t="shared" si="182"/>
        <v>0</v>
      </c>
      <c r="CQ83" s="19">
        <f>CQ84+CQ88</f>
        <v>66.490853071860002</v>
      </c>
      <c r="CR83" s="19">
        <f t="shared" ref="CR83:CU83" si="184">CR84+CR88</f>
        <v>0</v>
      </c>
      <c r="CS83" s="19">
        <f t="shared" si="184"/>
        <v>0</v>
      </c>
      <c r="CT83" s="19">
        <f t="shared" si="184"/>
        <v>66.490853071860002</v>
      </c>
      <c r="CU83" s="19">
        <f t="shared" si="184"/>
        <v>0</v>
      </c>
      <c r="CV83" s="16" t="s">
        <v>103</v>
      </c>
    </row>
    <row r="84" spans="1:100" s="8" customFormat="1" ht="31.5" x14ac:dyDescent="0.25">
      <c r="A84" s="17" t="s">
        <v>63</v>
      </c>
      <c r="B84" s="18" t="s">
        <v>64</v>
      </c>
      <c r="C84" s="16" t="s">
        <v>103</v>
      </c>
      <c r="D84" s="16" t="s">
        <v>103</v>
      </c>
      <c r="E84" s="16" t="s">
        <v>103</v>
      </c>
      <c r="F84" s="16" t="s">
        <v>103</v>
      </c>
      <c r="G84" s="16" t="s">
        <v>103</v>
      </c>
      <c r="H84" s="19">
        <f>SUM(H85:H87)</f>
        <v>3.5009963039999996</v>
      </c>
      <c r="I84" s="19">
        <f>SUM(I85:I87)</f>
        <v>34.994629560779998</v>
      </c>
      <c r="J84" s="19">
        <f t="shared" ref="J84:AY84" si="185">SUM(J85:J86)</f>
        <v>0</v>
      </c>
      <c r="K84" s="19">
        <f>SUM(K85:K87)</f>
        <v>4.2923506800000002</v>
      </c>
      <c r="L84" s="19">
        <f t="shared" ref="L84:M84" si="186">SUM(L85:L87)</f>
        <v>42.401370390540002</v>
      </c>
      <c r="M84" s="19">
        <f t="shared" si="186"/>
        <v>0</v>
      </c>
      <c r="N84" s="19">
        <f t="shared" si="185"/>
        <v>0</v>
      </c>
      <c r="O84" s="19">
        <f t="shared" si="185"/>
        <v>0</v>
      </c>
      <c r="P84" s="19">
        <f>SUM(P85:P87)</f>
        <v>86.711329076159998</v>
      </c>
      <c r="Q84" s="19">
        <f t="shared" ref="Q84:S84" si="187">SUM(Q85:Q87)</f>
        <v>102.64970563476999</v>
      </c>
      <c r="R84" s="19">
        <f t="shared" si="187"/>
        <v>88.269429538799997</v>
      </c>
      <c r="S84" s="19">
        <f t="shared" si="187"/>
        <v>117.1224533763196</v>
      </c>
      <c r="T84" s="19">
        <f t="shared" ref="T84:X84" si="188">SUM(T85:T87)</f>
        <v>43.55669990106</v>
      </c>
      <c r="U84" s="19">
        <f t="shared" si="188"/>
        <v>49.972830864540001</v>
      </c>
      <c r="V84" s="26">
        <f t="shared" si="169"/>
        <v>43.55669990106</v>
      </c>
      <c r="W84" s="26">
        <f>T84-Y84-AD84</f>
        <v>43.55669990106</v>
      </c>
      <c r="X84" s="19">
        <f t="shared" si="188"/>
        <v>49.972830864540001</v>
      </c>
      <c r="Y84" s="19">
        <f t="shared" si="185"/>
        <v>0</v>
      </c>
      <c r="Z84" s="19">
        <f t="shared" si="185"/>
        <v>0</v>
      </c>
      <c r="AA84" s="19">
        <f t="shared" si="185"/>
        <v>0</v>
      </c>
      <c r="AB84" s="19">
        <f t="shared" si="185"/>
        <v>0</v>
      </c>
      <c r="AC84" s="19">
        <f>SUM(AC85:AC87)</f>
        <v>0</v>
      </c>
      <c r="AD84" s="19">
        <f t="shared" ref="AD84:AM84" si="189">SUM(AD85:AD87)</f>
        <v>0</v>
      </c>
      <c r="AE84" s="19">
        <f t="shared" si="189"/>
        <v>0</v>
      </c>
      <c r="AF84" s="19">
        <f t="shared" si="189"/>
        <v>0</v>
      </c>
      <c r="AG84" s="19">
        <f t="shared" si="189"/>
        <v>0</v>
      </c>
      <c r="AH84" s="19">
        <f t="shared" si="189"/>
        <v>0</v>
      </c>
      <c r="AI84" s="19">
        <f t="shared" si="189"/>
        <v>0</v>
      </c>
      <c r="AJ84" s="19">
        <f t="shared" si="189"/>
        <v>0</v>
      </c>
      <c r="AK84" s="19">
        <f t="shared" si="189"/>
        <v>0</v>
      </c>
      <c r="AL84" s="19">
        <f t="shared" si="189"/>
        <v>0</v>
      </c>
      <c r="AM84" s="19">
        <f t="shared" si="189"/>
        <v>0</v>
      </c>
      <c r="AN84" s="19">
        <f>SUM(AN85:AN87)</f>
        <v>12.540155096519999</v>
      </c>
      <c r="AO84" s="19">
        <f t="shared" ref="AO84:AR84" si="190">SUM(AO85:AO87)</f>
        <v>0</v>
      </c>
      <c r="AP84" s="19">
        <f t="shared" si="190"/>
        <v>0</v>
      </c>
      <c r="AQ84" s="19">
        <f t="shared" si="190"/>
        <v>12.540155096519999</v>
      </c>
      <c r="AR84" s="19">
        <f t="shared" si="190"/>
        <v>0</v>
      </c>
      <c r="AS84" s="19">
        <f>SUM(AS85:AS87)</f>
        <v>18.95628606</v>
      </c>
      <c r="AT84" s="19">
        <f t="shared" ref="AT84:AW84" si="191">SUM(AT85:AT87)</f>
        <v>0</v>
      </c>
      <c r="AU84" s="19">
        <f t="shared" si="191"/>
        <v>0</v>
      </c>
      <c r="AV84" s="19">
        <f t="shared" si="191"/>
        <v>18.95628606</v>
      </c>
      <c r="AW84" s="19">
        <f t="shared" si="191"/>
        <v>0</v>
      </c>
      <c r="AX84" s="19">
        <f t="shared" si="185"/>
        <v>0</v>
      </c>
      <c r="AY84" s="19">
        <f t="shared" si="185"/>
        <v>0</v>
      </c>
      <c r="AZ84" s="19">
        <f t="shared" ref="AZ84:CK84" si="192">SUM(AZ85:AZ86)</f>
        <v>0</v>
      </c>
      <c r="BA84" s="19">
        <f t="shared" si="192"/>
        <v>0</v>
      </c>
      <c r="BB84" s="19">
        <f t="shared" si="192"/>
        <v>0</v>
      </c>
      <c r="BC84" s="19">
        <f t="shared" si="192"/>
        <v>0</v>
      </c>
      <c r="BD84" s="19">
        <f t="shared" si="192"/>
        <v>0</v>
      </c>
      <c r="BE84" s="19">
        <f t="shared" si="192"/>
        <v>0</v>
      </c>
      <c r="BF84" s="19">
        <f t="shared" si="192"/>
        <v>0</v>
      </c>
      <c r="BG84" s="19">
        <f t="shared" si="192"/>
        <v>0</v>
      </c>
      <c r="BH84" s="19">
        <f t="shared" si="192"/>
        <v>0</v>
      </c>
      <c r="BI84" s="19">
        <f t="shared" si="192"/>
        <v>0</v>
      </c>
      <c r="BJ84" s="19">
        <f t="shared" si="192"/>
        <v>0</v>
      </c>
      <c r="BK84" s="19">
        <f t="shared" si="192"/>
        <v>0</v>
      </c>
      <c r="BL84" s="19">
        <f t="shared" si="192"/>
        <v>0</v>
      </c>
      <c r="BM84" s="19">
        <f t="shared" si="192"/>
        <v>0</v>
      </c>
      <c r="BN84" s="19">
        <f t="shared" si="192"/>
        <v>0</v>
      </c>
      <c r="BO84" s="19">
        <f t="shared" si="192"/>
        <v>0</v>
      </c>
      <c r="BP84" s="19">
        <f t="shared" si="192"/>
        <v>0</v>
      </c>
      <c r="BQ84" s="19">
        <f t="shared" si="192"/>
        <v>0</v>
      </c>
      <c r="BR84" s="19">
        <f t="shared" si="192"/>
        <v>4.3720379280000001</v>
      </c>
      <c r="BS84" s="19">
        <f t="shared" si="192"/>
        <v>0</v>
      </c>
      <c r="BT84" s="19">
        <f t="shared" si="192"/>
        <v>0</v>
      </c>
      <c r="BU84" s="19">
        <f t="shared" si="192"/>
        <v>4.3720379280000001</v>
      </c>
      <c r="BV84" s="19">
        <f t="shared" si="192"/>
        <v>0</v>
      </c>
      <c r="BW84" s="19">
        <f t="shared" si="192"/>
        <v>4.3720379280000001</v>
      </c>
      <c r="BX84" s="19">
        <f t="shared" si="192"/>
        <v>0</v>
      </c>
      <c r="BY84" s="19">
        <f t="shared" si="192"/>
        <v>0</v>
      </c>
      <c r="BZ84" s="19">
        <f t="shared" si="192"/>
        <v>4.3720379280000001</v>
      </c>
      <c r="CA84" s="19">
        <f t="shared" si="192"/>
        <v>0</v>
      </c>
      <c r="CB84" s="19">
        <f t="shared" si="192"/>
        <v>26.644506876539999</v>
      </c>
      <c r="CC84" s="19">
        <f t="shared" si="192"/>
        <v>0</v>
      </c>
      <c r="CD84" s="19">
        <f t="shared" si="192"/>
        <v>0</v>
      </c>
      <c r="CE84" s="19">
        <f t="shared" si="192"/>
        <v>26.644506876539999</v>
      </c>
      <c r="CF84" s="19">
        <f t="shared" si="192"/>
        <v>0</v>
      </c>
      <c r="CG84" s="19">
        <f t="shared" si="192"/>
        <v>26.644506876539999</v>
      </c>
      <c r="CH84" s="19">
        <f t="shared" si="192"/>
        <v>0</v>
      </c>
      <c r="CI84" s="19">
        <f t="shared" si="192"/>
        <v>0</v>
      </c>
      <c r="CJ84" s="19">
        <f t="shared" si="192"/>
        <v>26.644506876539999</v>
      </c>
      <c r="CK84" s="19">
        <f t="shared" si="192"/>
        <v>0</v>
      </c>
      <c r="CL84" s="21">
        <v>43.55669990106</v>
      </c>
      <c r="CM84" s="19">
        <v>0</v>
      </c>
      <c r="CN84" s="19">
        <v>0</v>
      </c>
      <c r="CO84" s="21">
        <f>T84</f>
        <v>43.55669990106</v>
      </c>
      <c r="CP84" s="19">
        <v>0</v>
      </c>
      <c r="CQ84" s="19">
        <f>SUM(CQ85:CQ87)</f>
        <v>49.972830864540001</v>
      </c>
      <c r="CR84" s="19">
        <f t="shared" ref="CR84:CU84" si="193">SUM(CR85:CR87)</f>
        <v>0</v>
      </c>
      <c r="CS84" s="19">
        <f t="shared" si="193"/>
        <v>0</v>
      </c>
      <c r="CT84" s="19">
        <f t="shared" si="193"/>
        <v>49.972830864540001</v>
      </c>
      <c r="CU84" s="19">
        <f t="shared" si="193"/>
        <v>0</v>
      </c>
      <c r="CV84" s="16" t="s">
        <v>103</v>
      </c>
    </row>
    <row r="85" spans="1:100" s="8" customFormat="1" ht="63" x14ac:dyDescent="0.25">
      <c r="A85" s="24" t="s">
        <v>128</v>
      </c>
      <c r="B85" s="20" t="s">
        <v>165</v>
      </c>
      <c r="C85" s="36" t="s">
        <v>181</v>
      </c>
      <c r="D85" s="16" t="s">
        <v>111</v>
      </c>
      <c r="E85" s="16">
        <v>2025</v>
      </c>
      <c r="F85" s="16">
        <v>2025</v>
      </c>
      <c r="G85" s="16" t="s">
        <v>103</v>
      </c>
      <c r="H85" s="19">
        <f>0.9279558*1.2</f>
        <v>1.1135469599999999</v>
      </c>
      <c r="I85" s="19">
        <v>11.36352977424</v>
      </c>
      <c r="J85" s="22" t="s">
        <v>134</v>
      </c>
      <c r="K85" s="22" t="s">
        <v>103</v>
      </c>
      <c r="L85" s="22">
        <v>0</v>
      </c>
      <c r="M85" s="22" t="s">
        <v>103</v>
      </c>
      <c r="N85" s="16" t="s">
        <v>103</v>
      </c>
      <c r="O85" s="11">
        <v>0</v>
      </c>
      <c r="P85" s="19">
        <f>27953.27462016/1000</f>
        <v>27.953274620159998</v>
      </c>
      <c r="Q85" s="19">
        <f>29295.0318019277/1000</f>
        <v>29.295031801927699</v>
      </c>
      <c r="R85" s="19">
        <v>0</v>
      </c>
      <c r="S85" s="19">
        <v>0</v>
      </c>
      <c r="T85" s="19">
        <f>AN85</f>
        <v>12.540155096519999</v>
      </c>
      <c r="U85" s="19">
        <f>Y85+CQ85</f>
        <v>0</v>
      </c>
      <c r="V85" s="26">
        <f t="shared" si="169"/>
        <v>12.540155096519999</v>
      </c>
      <c r="W85" s="26">
        <f>T85-Y85-AD85</f>
        <v>12.540155096519999</v>
      </c>
      <c r="X85" s="19">
        <f>AV85+BF85+BP85+BZ85+CJ85</f>
        <v>0</v>
      </c>
      <c r="Y85" s="19">
        <v>0</v>
      </c>
      <c r="Z85" s="19">
        <v>0</v>
      </c>
      <c r="AA85" s="19">
        <v>0</v>
      </c>
      <c r="AB85" s="19">
        <v>0</v>
      </c>
      <c r="AC85" s="19">
        <v>0</v>
      </c>
      <c r="AD85" s="19">
        <v>0</v>
      </c>
      <c r="AE85" s="19">
        <v>0</v>
      </c>
      <c r="AF85" s="19">
        <v>0</v>
      </c>
      <c r="AG85" s="19">
        <v>0</v>
      </c>
      <c r="AH85" s="19">
        <v>0</v>
      </c>
      <c r="AI85" s="19">
        <f>SUM(AJ85:AM85)</f>
        <v>0</v>
      </c>
      <c r="AJ85" s="19">
        <v>0</v>
      </c>
      <c r="AK85" s="19">
        <v>0</v>
      </c>
      <c r="AL85" s="19">
        <v>0</v>
      </c>
      <c r="AM85" s="19">
        <v>0</v>
      </c>
      <c r="AN85" s="19">
        <f>AQ85</f>
        <v>12.540155096519999</v>
      </c>
      <c r="AO85" s="19">
        <v>0</v>
      </c>
      <c r="AP85" s="19">
        <v>0</v>
      </c>
      <c r="AQ85" s="19">
        <f>12540.15509652/1000</f>
        <v>12.540155096519999</v>
      </c>
      <c r="AR85" s="19">
        <f t="shared" ref="AR85:BL85" si="194">AR86</f>
        <v>0</v>
      </c>
      <c r="AS85" s="19">
        <f>SUM(AT85:AW85)</f>
        <v>0</v>
      </c>
      <c r="AT85" s="19">
        <v>0</v>
      </c>
      <c r="AU85" s="19">
        <v>0</v>
      </c>
      <c r="AV85" s="19">
        <v>0</v>
      </c>
      <c r="AW85" s="19">
        <v>0</v>
      </c>
      <c r="AX85" s="19">
        <f t="shared" si="194"/>
        <v>0</v>
      </c>
      <c r="AY85" s="19">
        <f t="shared" si="194"/>
        <v>0</v>
      </c>
      <c r="AZ85" s="19">
        <f t="shared" si="194"/>
        <v>0</v>
      </c>
      <c r="BA85" s="19">
        <f t="shared" si="194"/>
        <v>0</v>
      </c>
      <c r="BB85" s="19">
        <f t="shared" si="194"/>
        <v>0</v>
      </c>
      <c r="BC85" s="19">
        <v>0</v>
      </c>
      <c r="BD85" s="19">
        <v>0</v>
      </c>
      <c r="BE85" s="19">
        <v>0</v>
      </c>
      <c r="BF85" s="19">
        <v>0</v>
      </c>
      <c r="BG85" s="19">
        <v>0</v>
      </c>
      <c r="BH85" s="19">
        <f>SUM(BI85:BL85)</f>
        <v>0</v>
      </c>
      <c r="BI85" s="19">
        <f t="shared" si="194"/>
        <v>0</v>
      </c>
      <c r="BJ85" s="19">
        <f t="shared" si="194"/>
        <v>0</v>
      </c>
      <c r="BK85" s="19">
        <f t="shared" si="194"/>
        <v>0</v>
      </c>
      <c r="BL85" s="19">
        <f t="shared" si="194"/>
        <v>0</v>
      </c>
      <c r="BM85" s="19">
        <f>SUM(BN85:BQ85)</f>
        <v>0</v>
      </c>
      <c r="BN85" s="19">
        <v>0</v>
      </c>
      <c r="BO85" s="19">
        <v>0</v>
      </c>
      <c r="BP85" s="19">
        <v>0</v>
      </c>
      <c r="BQ85" s="19">
        <v>0</v>
      </c>
      <c r="BR85" s="19">
        <v>0</v>
      </c>
      <c r="BS85" s="19">
        <f>BS86</f>
        <v>0</v>
      </c>
      <c r="BT85" s="19">
        <f>BT86</f>
        <v>0</v>
      </c>
      <c r="BU85" s="19">
        <v>0</v>
      </c>
      <c r="BV85" s="19">
        <f>BV86</f>
        <v>0</v>
      </c>
      <c r="BW85" s="19">
        <f>SUM(BX85:CA85)</f>
        <v>0</v>
      </c>
      <c r="BX85" s="19">
        <v>0</v>
      </c>
      <c r="BY85" s="19">
        <v>0</v>
      </c>
      <c r="BZ85" s="19">
        <v>0</v>
      </c>
      <c r="CA85" s="19">
        <v>0</v>
      </c>
      <c r="CB85" s="19">
        <v>0</v>
      </c>
      <c r="CC85" s="19">
        <v>0</v>
      </c>
      <c r="CD85" s="19">
        <v>0</v>
      </c>
      <c r="CE85" s="19">
        <v>0</v>
      </c>
      <c r="CF85" s="19">
        <v>0</v>
      </c>
      <c r="CG85" s="19">
        <f>SUM(CH85:CK85)</f>
        <v>0</v>
      </c>
      <c r="CH85" s="19">
        <v>0</v>
      </c>
      <c r="CI85" s="19">
        <v>0</v>
      </c>
      <c r="CJ85" s="19">
        <v>0</v>
      </c>
      <c r="CK85" s="19">
        <v>0</v>
      </c>
      <c r="CL85" s="21">
        <v>12.540155096519999</v>
      </c>
      <c r="CM85" s="19">
        <f>CM86</f>
        <v>0</v>
      </c>
      <c r="CN85" s="19">
        <f>CN86</f>
        <v>0</v>
      </c>
      <c r="CO85" s="21">
        <f>T85</f>
        <v>12.540155096519999</v>
      </c>
      <c r="CP85" s="19">
        <f>CP86</f>
        <v>0</v>
      </c>
      <c r="CQ85" s="19">
        <f>SUM(CR85:CU85)</f>
        <v>0</v>
      </c>
      <c r="CR85" s="19">
        <v>0</v>
      </c>
      <c r="CS85" s="19">
        <v>0</v>
      </c>
      <c r="CT85" s="21">
        <f>CJ85+BZ85+BP85+BF85+AV85+AL85</f>
        <v>0</v>
      </c>
      <c r="CU85" s="19">
        <v>0</v>
      </c>
      <c r="CV85" s="31" t="s">
        <v>130</v>
      </c>
    </row>
    <row r="86" spans="1:100" s="8" customFormat="1" ht="63" x14ac:dyDescent="0.25">
      <c r="A86" s="24" t="s">
        <v>129</v>
      </c>
      <c r="B86" s="20" t="s">
        <v>143</v>
      </c>
      <c r="C86" s="36" t="s">
        <v>182</v>
      </c>
      <c r="D86" s="16" t="s">
        <v>111</v>
      </c>
      <c r="E86" s="16">
        <v>2028</v>
      </c>
      <c r="F86" s="16">
        <v>2029</v>
      </c>
      <c r="G86" s="16">
        <v>2029</v>
      </c>
      <c r="H86" s="19">
        <f>1.98954112*1.2</f>
        <v>2.3874493439999998</v>
      </c>
      <c r="I86" s="19">
        <v>23.631099786540002</v>
      </c>
      <c r="J86" s="22" t="s">
        <v>134</v>
      </c>
      <c r="K86" s="22">
        <f>H86</f>
        <v>2.3874493439999998</v>
      </c>
      <c r="L86" s="22">
        <f>I86</f>
        <v>23.631099786540002</v>
      </c>
      <c r="M86" s="22" t="str">
        <f>J86</f>
        <v>ноябрь 2023 г.</v>
      </c>
      <c r="N86" s="16" t="s">
        <v>103</v>
      </c>
      <c r="O86" s="11">
        <v>0</v>
      </c>
      <c r="P86" s="19">
        <f>58758.054456/1000</f>
        <v>58.758054455999996</v>
      </c>
      <c r="Q86" s="19">
        <f>73354.6738328423/1000</f>
        <v>73.354673832842295</v>
      </c>
      <c r="R86" s="19">
        <f>58758.054456/1000</f>
        <v>58.758054455999996</v>
      </c>
      <c r="S86" s="19">
        <f>82414.1841641887/1000</f>
        <v>82.414184164188697</v>
      </c>
      <c r="T86" s="19">
        <f>BR86+CB86</f>
        <v>31.016544804540001</v>
      </c>
      <c r="U86" s="19">
        <f>O86+CT86</f>
        <v>31.016544804540001</v>
      </c>
      <c r="V86" s="19">
        <v>31.016544804540001</v>
      </c>
      <c r="W86" s="19">
        <v>31.016544804540001</v>
      </c>
      <c r="X86" s="19">
        <f t="shared" ref="X86:X87" si="195">AV86+BF86+BP86+BZ86+CJ86</f>
        <v>31.016544804540001</v>
      </c>
      <c r="Y86" s="19">
        <v>0</v>
      </c>
      <c r="Z86" s="19">
        <v>0</v>
      </c>
      <c r="AA86" s="19">
        <v>0</v>
      </c>
      <c r="AB86" s="19">
        <v>0</v>
      </c>
      <c r="AC86" s="19">
        <v>0</v>
      </c>
      <c r="AD86" s="19">
        <v>0</v>
      </c>
      <c r="AE86" s="19">
        <v>0</v>
      </c>
      <c r="AF86" s="19">
        <v>0</v>
      </c>
      <c r="AG86" s="19">
        <v>0</v>
      </c>
      <c r="AH86" s="19">
        <v>0</v>
      </c>
      <c r="AI86" s="19">
        <f>SUM(AJ86:AM86)</f>
        <v>0</v>
      </c>
      <c r="AJ86" s="19">
        <v>0</v>
      </c>
      <c r="AK86" s="19">
        <v>0</v>
      </c>
      <c r="AL86" s="19">
        <v>0</v>
      </c>
      <c r="AM86" s="19">
        <v>0</v>
      </c>
      <c r="AN86" s="19">
        <f>AQ86</f>
        <v>0</v>
      </c>
      <c r="AO86" s="19">
        <v>0</v>
      </c>
      <c r="AP86" s="19">
        <v>0</v>
      </c>
      <c r="AQ86" s="19">
        <v>0</v>
      </c>
      <c r="AR86" s="19">
        <v>0</v>
      </c>
      <c r="AS86" s="19">
        <f>SUM(AT86:AW86)</f>
        <v>0</v>
      </c>
      <c r="AT86" s="19">
        <v>0</v>
      </c>
      <c r="AU86" s="19">
        <v>0</v>
      </c>
      <c r="AV86" s="19">
        <v>0</v>
      </c>
      <c r="AW86" s="19">
        <v>0</v>
      </c>
      <c r="AX86" s="19">
        <v>0</v>
      </c>
      <c r="AY86" s="19">
        <v>0</v>
      </c>
      <c r="AZ86" s="19">
        <v>0</v>
      </c>
      <c r="BA86" s="19">
        <v>0</v>
      </c>
      <c r="BB86" s="19">
        <v>0</v>
      </c>
      <c r="BC86" s="19">
        <v>0</v>
      </c>
      <c r="BD86" s="19">
        <v>0</v>
      </c>
      <c r="BE86" s="19">
        <v>0</v>
      </c>
      <c r="BF86" s="19">
        <v>0</v>
      </c>
      <c r="BG86" s="19">
        <v>0</v>
      </c>
      <c r="BH86" s="19">
        <f t="shared" ref="BH86" si="196">SUM(BI86:BL86)</f>
        <v>0</v>
      </c>
      <c r="BI86" s="19">
        <v>0</v>
      </c>
      <c r="BJ86" s="19">
        <v>0</v>
      </c>
      <c r="BK86" s="19">
        <v>0</v>
      </c>
      <c r="BL86" s="19">
        <v>0</v>
      </c>
      <c r="BM86" s="19">
        <f t="shared" ref="BM86:BM87" si="197">SUM(BN86:BQ86)</f>
        <v>0</v>
      </c>
      <c r="BN86" s="19">
        <v>0</v>
      </c>
      <c r="BO86" s="19">
        <v>0</v>
      </c>
      <c r="BP86" s="19">
        <v>0</v>
      </c>
      <c r="BQ86" s="19">
        <v>0</v>
      </c>
      <c r="BR86" s="19">
        <f>BU86</f>
        <v>4.3720379280000001</v>
      </c>
      <c r="BS86" s="19">
        <v>0</v>
      </c>
      <c r="BT86" s="19">
        <v>0</v>
      </c>
      <c r="BU86" s="19">
        <f>4372.037928/1000</f>
        <v>4.3720379280000001</v>
      </c>
      <c r="BV86" s="19">
        <v>0</v>
      </c>
      <c r="BW86" s="19">
        <f t="shared" ref="BW86:BW87" si="198">SUM(BX86:CA86)</f>
        <v>4.3720379280000001</v>
      </c>
      <c r="BX86" s="19">
        <v>0</v>
      </c>
      <c r="BY86" s="19">
        <v>0</v>
      </c>
      <c r="BZ86" s="19">
        <f>BU86</f>
        <v>4.3720379280000001</v>
      </c>
      <c r="CA86" s="19">
        <v>0</v>
      </c>
      <c r="CB86" s="19">
        <f>CE86</f>
        <v>26.644506876539999</v>
      </c>
      <c r="CC86" s="19">
        <v>0</v>
      </c>
      <c r="CD86" s="19">
        <v>0</v>
      </c>
      <c r="CE86" s="19">
        <f>26644.50687654/1000</f>
        <v>26.644506876539999</v>
      </c>
      <c r="CF86" s="19">
        <v>0</v>
      </c>
      <c r="CG86" s="19">
        <f>SUM(CH86:CK86)</f>
        <v>26.644506876539999</v>
      </c>
      <c r="CH86" s="19">
        <v>0</v>
      </c>
      <c r="CI86" s="19">
        <v>0</v>
      </c>
      <c r="CJ86" s="19">
        <f>CE86</f>
        <v>26.644506876539999</v>
      </c>
      <c r="CK86" s="19">
        <v>0</v>
      </c>
      <c r="CL86" s="21">
        <v>31.016544804540001</v>
      </c>
      <c r="CM86" s="19">
        <v>0</v>
      </c>
      <c r="CN86" s="19">
        <v>0</v>
      </c>
      <c r="CO86" s="21">
        <f>T86</f>
        <v>31.016544804540001</v>
      </c>
      <c r="CP86" s="19">
        <v>0</v>
      </c>
      <c r="CQ86" s="19">
        <f t="shared" ref="CQ86:CQ87" si="199">SUM(CR86:CU86)</f>
        <v>31.016544804540001</v>
      </c>
      <c r="CR86" s="19">
        <v>0</v>
      </c>
      <c r="CS86" s="19">
        <v>0</v>
      </c>
      <c r="CT86" s="21">
        <f>CJ86+BZ86+BP86+BF86+AV86+AL86</f>
        <v>31.016544804540001</v>
      </c>
      <c r="CU86" s="19">
        <v>0</v>
      </c>
      <c r="CV86" s="31" t="s">
        <v>130</v>
      </c>
    </row>
    <row r="87" spans="1:100" s="8" customFormat="1" ht="157.5" x14ac:dyDescent="0.25">
      <c r="A87" s="24" t="s">
        <v>292</v>
      </c>
      <c r="B87" s="20" t="s">
        <v>293</v>
      </c>
      <c r="C87" s="36" t="s">
        <v>324</v>
      </c>
      <c r="D87" s="16" t="s">
        <v>111</v>
      </c>
      <c r="E87" s="16">
        <v>2025</v>
      </c>
      <c r="F87" s="16" t="s">
        <v>103</v>
      </c>
      <c r="G87" s="16">
        <v>2025</v>
      </c>
      <c r="H87" s="19" t="s">
        <v>103</v>
      </c>
      <c r="I87" s="19">
        <v>0</v>
      </c>
      <c r="J87" s="22" t="s">
        <v>103</v>
      </c>
      <c r="K87" s="22">
        <f>1.58741778*1.2</f>
        <v>1.904901336</v>
      </c>
      <c r="L87" s="22">
        <f>15.64189217*1.2</f>
        <v>18.770270604</v>
      </c>
      <c r="M87" s="22" t="s">
        <v>310</v>
      </c>
      <c r="N87" s="16" t="s">
        <v>103</v>
      </c>
      <c r="O87" s="11">
        <v>0</v>
      </c>
      <c r="P87" s="19" t="s">
        <v>103</v>
      </c>
      <c r="Q87" s="19" t="s">
        <v>103</v>
      </c>
      <c r="R87" s="19">
        <f>29511.3750828/1000</f>
        <v>29.511375082800001</v>
      </c>
      <c r="S87" s="19">
        <f>34708.2692121309/1000</f>
        <v>34.708269212130901</v>
      </c>
      <c r="T87" s="19" t="s">
        <v>103</v>
      </c>
      <c r="U87" s="19">
        <f>Y87+CQ87</f>
        <v>18.95628606</v>
      </c>
      <c r="V87" s="26" t="str">
        <f t="shared" ref="V87:V110" si="200">T87</f>
        <v>нд</v>
      </c>
      <c r="W87" s="26" t="s">
        <v>103</v>
      </c>
      <c r="X87" s="19">
        <f t="shared" si="195"/>
        <v>18.95628606</v>
      </c>
      <c r="Y87" s="19">
        <v>0</v>
      </c>
      <c r="Z87" s="19">
        <v>0</v>
      </c>
      <c r="AA87" s="19">
        <v>0</v>
      </c>
      <c r="AB87" s="19">
        <v>0</v>
      </c>
      <c r="AC87" s="19">
        <v>0</v>
      </c>
      <c r="AD87" s="19" t="s">
        <v>103</v>
      </c>
      <c r="AE87" s="19" t="s">
        <v>103</v>
      </c>
      <c r="AF87" s="19" t="s">
        <v>103</v>
      </c>
      <c r="AG87" s="19" t="s">
        <v>103</v>
      </c>
      <c r="AH87" s="19" t="s">
        <v>103</v>
      </c>
      <c r="AI87" s="19">
        <f>SUM(AJ87:AM87)</f>
        <v>0</v>
      </c>
      <c r="AJ87" s="19">
        <v>0</v>
      </c>
      <c r="AK87" s="19">
        <v>0</v>
      </c>
      <c r="AL87" s="19">
        <v>0</v>
      </c>
      <c r="AM87" s="19">
        <v>0</v>
      </c>
      <c r="AN87" s="19" t="s">
        <v>103</v>
      </c>
      <c r="AO87" s="19" t="s">
        <v>103</v>
      </c>
      <c r="AP87" s="19" t="s">
        <v>103</v>
      </c>
      <c r="AQ87" s="19" t="s">
        <v>103</v>
      </c>
      <c r="AR87" s="19" t="s">
        <v>103</v>
      </c>
      <c r="AS87" s="19">
        <f>SUM(AT87:AW87)</f>
        <v>18.95628606</v>
      </c>
      <c r="AT87" s="19">
        <v>0</v>
      </c>
      <c r="AU87" s="19">
        <v>0</v>
      </c>
      <c r="AV87" s="19">
        <v>18.95628606</v>
      </c>
      <c r="AW87" s="19">
        <v>0</v>
      </c>
      <c r="AX87" s="19" t="s">
        <v>103</v>
      </c>
      <c r="AY87" s="19" t="s">
        <v>103</v>
      </c>
      <c r="AZ87" s="19" t="s">
        <v>103</v>
      </c>
      <c r="BA87" s="19" t="s">
        <v>103</v>
      </c>
      <c r="BB87" s="19" t="s">
        <v>103</v>
      </c>
      <c r="BC87" s="19">
        <v>0</v>
      </c>
      <c r="BD87" s="19">
        <v>0</v>
      </c>
      <c r="BE87" s="19">
        <v>0</v>
      </c>
      <c r="BF87" s="19">
        <v>0</v>
      </c>
      <c r="BG87" s="19">
        <v>0</v>
      </c>
      <c r="BH87" s="19" t="s">
        <v>103</v>
      </c>
      <c r="BI87" s="19" t="s">
        <v>103</v>
      </c>
      <c r="BJ87" s="19" t="s">
        <v>103</v>
      </c>
      <c r="BK87" s="19" t="s">
        <v>103</v>
      </c>
      <c r="BL87" s="19" t="s">
        <v>103</v>
      </c>
      <c r="BM87" s="19">
        <f t="shared" si="197"/>
        <v>0</v>
      </c>
      <c r="BN87" s="19">
        <v>0</v>
      </c>
      <c r="BO87" s="19">
        <v>0</v>
      </c>
      <c r="BP87" s="19">
        <v>0</v>
      </c>
      <c r="BQ87" s="19">
        <v>0</v>
      </c>
      <c r="BR87" s="19" t="s">
        <v>103</v>
      </c>
      <c r="BS87" s="19" t="s">
        <v>103</v>
      </c>
      <c r="BT87" s="19" t="s">
        <v>103</v>
      </c>
      <c r="BU87" s="19" t="s">
        <v>103</v>
      </c>
      <c r="BV87" s="19" t="s">
        <v>103</v>
      </c>
      <c r="BW87" s="19">
        <f t="shared" si="198"/>
        <v>0</v>
      </c>
      <c r="BX87" s="19">
        <v>0</v>
      </c>
      <c r="BY87" s="19">
        <v>0</v>
      </c>
      <c r="BZ87" s="19">
        <v>0</v>
      </c>
      <c r="CA87" s="19">
        <v>0</v>
      </c>
      <c r="CB87" s="19" t="s">
        <v>103</v>
      </c>
      <c r="CC87" s="19" t="s">
        <v>103</v>
      </c>
      <c r="CD87" s="19" t="s">
        <v>103</v>
      </c>
      <c r="CE87" s="19" t="s">
        <v>103</v>
      </c>
      <c r="CF87" s="19" t="s">
        <v>103</v>
      </c>
      <c r="CG87" s="19">
        <f>SUM(CH87:CK87)</f>
        <v>0</v>
      </c>
      <c r="CH87" s="19">
        <v>0</v>
      </c>
      <c r="CI87" s="19">
        <v>0</v>
      </c>
      <c r="CJ87" s="19">
        <v>0</v>
      </c>
      <c r="CK87" s="19">
        <v>0</v>
      </c>
      <c r="CL87" s="21">
        <v>0</v>
      </c>
      <c r="CM87" s="19" t="s">
        <v>103</v>
      </c>
      <c r="CN87" s="19" t="s">
        <v>103</v>
      </c>
      <c r="CO87" s="21" t="s">
        <v>103</v>
      </c>
      <c r="CP87" s="19" t="s">
        <v>103</v>
      </c>
      <c r="CQ87" s="19">
        <f t="shared" si="199"/>
        <v>18.95628606</v>
      </c>
      <c r="CR87" s="19">
        <v>0</v>
      </c>
      <c r="CS87" s="19">
        <v>0</v>
      </c>
      <c r="CT87" s="21">
        <f>CJ87+BZ87+BP87+BF87+AV87+AL87</f>
        <v>18.95628606</v>
      </c>
      <c r="CU87" s="19">
        <v>0</v>
      </c>
      <c r="CV87" s="32" t="s">
        <v>130</v>
      </c>
    </row>
    <row r="88" spans="1:100" s="8" customFormat="1" ht="47.25" x14ac:dyDescent="0.25">
      <c r="A88" s="17" t="s">
        <v>65</v>
      </c>
      <c r="B88" s="18" t="s">
        <v>66</v>
      </c>
      <c r="C88" s="16" t="s">
        <v>103</v>
      </c>
      <c r="D88" s="16" t="s">
        <v>103</v>
      </c>
      <c r="E88" s="16" t="s">
        <v>103</v>
      </c>
      <c r="F88" s="16" t="s">
        <v>103</v>
      </c>
      <c r="G88" s="16" t="s">
        <v>103</v>
      </c>
      <c r="H88" s="19">
        <f>SUM(H89:H92)</f>
        <v>1.772531538</v>
      </c>
      <c r="I88" s="19">
        <f>SUM(I89:I92)</f>
        <v>13.648245243999998</v>
      </c>
      <c r="J88" s="16" t="s">
        <v>103</v>
      </c>
      <c r="K88" s="19">
        <f>SUM(K89:K92)</f>
        <v>1.772531538</v>
      </c>
      <c r="L88" s="19">
        <f t="shared" ref="L88" si="201">SUM(L89:L92)</f>
        <v>13.600375331999999</v>
      </c>
      <c r="M88" s="16" t="s">
        <v>103</v>
      </c>
      <c r="N88" s="16" t="s">
        <v>103</v>
      </c>
      <c r="O88" s="16" t="s">
        <v>103</v>
      </c>
      <c r="P88" s="19">
        <f>SUM(P89:P92)</f>
        <v>35.437359994799998</v>
      </c>
      <c r="Q88" s="19">
        <f t="shared" ref="Q88:S88" si="202">SUM(Q89:Q92)</f>
        <v>41.261689747925359</v>
      </c>
      <c r="R88" s="19">
        <f t="shared" si="202"/>
        <v>35.437359994799998</v>
      </c>
      <c r="S88" s="19">
        <f t="shared" si="202"/>
        <v>45.728994859617977</v>
      </c>
      <c r="T88" s="19">
        <f t="shared" ref="T88:CN88" si="203">SUM(T89:T92)</f>
        <v>16.637572585320001</v>
      </c>
      <c r="U88" s="19">
        <f>SUM(U89:U92)</f>
        <v>16.518022207320001</v>
      </c>
      <c r="V88" s="26">
        <f t="shared" si="200"/>
        <v>16.637572585320001</v>
      </c>
      <c r="W88" s="26">
        <f>T88-Y88-AD88</f>
        <v>14.945917939320001</v>
      </c>
      <c r="X88" s="19">
        <f>SUM(X89:X92)</f>
        <v>14.945917939320001</v>
      </c>
      <c r="Y88" s="19">
        <f t="shared" si="203"/>
        <v>0</v>
      </c>
      <c r="Z88" s="19">
        <f t="shared" si="203"/>
        <v>0</v>
      </c>
      <c r="AA88" s="19">
        <f t="shared" si="203"/>
        <v>0</v>
      </c>
      <c r="AB88" s="19">
        <f t="shared" si="203"/>
        <v>0</v>
      </c>
      <c r="AC88" s="19">
        <f t="shared" si="203"/>
        <v>0</v>
      </c>
      <c r="AD88" s="19">
        <f t="shared" si="203"/>
        <v>1.6916546459999999</v>
      </c>
      <c r="AE88" s="19">
        <f t="shared" si="203"/>
        <v>0</v>
      </c>
      <c r="AF88" s="19">
        <f t="shared" si="203"/>
        <v>0</v>
      </c>
      <c r="AG88" s="19">
        <f t="shared" si="203"/>
        <v>1.6916546459999999</v>
      </c>
      <c r="AH88" s="19">
        <f t="shared" si="203"/>
        <v>0</v>
      </c>
      <c r="AI88" s="19">
        <f t="shared" si="203"/>
        <v>1.5721042679999999</v>
      </c>
      <c r="AJ88" s="19">
        <f t="shared" si="203"/>
        <v>0</v>
      </c>
      <c r="AK88" s="19">
        <f t="shared" si="203"/>
        <v>0</v>
      </c>
      <c r="AL88" s="19">
        <f t="shared" si="203"/>
        <v>1.5721042679999999</v>
      </c>
      <c r="AM88" s="19">
        <f t="shared" si="203"/>
        <v>0</v>
      </c>
      <c r="AN88" s="19">
        <f t="shared" si="203"/>
        <v>4.7893140913200005</v>
      </c>
      <c r="AO88" s="19">
        <f t="shared" si="203"/>
        <v>0</v>
      </c>
      <c r="AP88" s="19">
        <f t="shared" si="203"/>
        <v>0</v>
      </c>
      <c r="AQ88" s="19">
        <f t="shared" si="203"/>
        <v>4.7893140913200005</v>
      </c>
      <c r="AR88" s="19">
        <f t="shared" si="203"/>
        <v>0</v>
      </c>
      <c r="AS88" s="19">
        <f t="shared" si="203"/>
        <v>4.7893140913199996</v>
      </c>
      <c r="AT88" s="19">
        <f t="shared" si="203"/>
        <v>0</v>
      </c>
      <c r="AU88" s="19">
        <f t="shared" si="203"/>
        <v>0</v>
      </c>
      <c r="AV88" s="19">
        <f t="shared" si="203"/>
        <v>4.7893140913199996</v>
      </c>
      <c r="AW88" s="19">
        <f t="shared" si="203"/>
        <v>0</v>
      </c>
      <c r="AX88" s="19">
        <f t="shared" si="203"/>
        <v>0</v>
      </c>
      <c r="AY88" s="19">
        <f t="shared" si="203"/>
        <v>0</v>
      </c>
      <c r="AZ88" s="19">
        <f t="shared" si="203"/>
        <v>0</v>
      </c>
      <c r="BA88" s="19">
        <f t="shared" si="203"/>
        <v>0</v>
      </c>
      <c r="BB88" s="19">
        <f t="shared" si="203"/>
        <v>0</v>
      </c>
      <c r="BC88" s="19">
        <f t="shared" si="203"/>
        <v>0</v>
      </c>
      <c r="BD88" s="19">
        <f t="shared" si="203"/>
        <v>0</v>
      </c>
      <c r="BE88" s="19">
        <f t="shared" si="203"/>
        <v>0</v>
      </c>
      <c r="BF88" s="19">
        <f t="shared" si="203"/>
        <v>0</v>
      </c>
      <c r="BG88" s="19">
        <f t="shared" si="203"/>
        <v>0</v>
      </c>
      <c r="BH88" s="19">
        <f t="shared" si="203"/>
        <v>0</v>
      </c>
      <c r="BI88" s="19">
        <f t="shared" si="203"/>
        <v>0</v>
      </c>
      <c r="BJ88" s="19">
        <f t="shared" si="203"/>
        <v>0</v>
      </c>
      <c r="BK88" s="19">
        <f t="shared" si="203"/>
        <v>0</v>
      </c>
      <c r="BL88" s="19">
        <f t="shared" si="203"/>
        <v>0</v>
      </c>
      <c r="BM88" s="19">
        <f t="shared" si="203"/>
        <v>0</v>
      </c>
      <c r="BN88" s="19">
        <f t="shared" si="203"/>
        <v>0</v>
      </c>
      <c r="BO88" s="19">
        <f t="shared" si="203"/>
        <v>0</v>
      </c>
      <c r="BP88" s="19">
        <f t="shared" si="203"/>
        <v>0</v>
      </c>
      <c r="BQ88" s="19">
        <f t="shared" si="203"/>
        <v>0</v>
      </c>
      <c r="BR88" s="19">
        <f t="shared" si="203"/>
        <v>0</v>
      </c>
      <c r="BS88" s="19">
        <f t="shared" si="203"/>
        <v>0</v>
      </c>
      <c r="BT88" s="19">
        <f t="shared" si="203"/>
        <v>0</v>
      </c>
      <c r="BU88" s="19">
        <f t="shared" si="203"/>
        <v>0</v>
      </c>
      <c r="BV88" s="19">
        <f t="shared" si="203"/>
        <v>0</v>
      </c>
      <c r="BW88" s="19">
        <f t="shared" si="203"/>
        <v>0</v>
      </c>
      <c r="BX88" s="19">
        <f t="shared" si="203"/>
        <v>0</v>
      </c>
      <c r="BY88" s="19">
        <f t="shared" si="203"/>
        <v>0</v>
      </c>
      <c r="BZ88" s="19">
        <f t="shared" si="203"/>
        <v>0</v>
      </c>
      <c r="CA88" s="19">
        <f t="shared" si="203"/>
        <v>0</v>
      </c>
      <c r="CB88" s="19">
        <f t="shared" si="203"/>
        <v>10.156603848000001</v>
      </c>
      <c r="CC88" s="19">
        <f t="shared" si="203"/>
        <v>0</v>
      </c>
      <c r="CD88" s="19">
        <f t="shared" si="203"/>
        <v>0</v>
      </c>
      <c r="CE88" s="19">
        <f t="shared" si="203"/>
        <v>10.156603848000001</v>
      </c>
      <c r="CF88" s="19">
        <f t="shared" si="203"/>
        <v>0</v>
      </c>
      <c r="CG88" s="19">
        <f t="shared" si="203"/>
        <v>10.156603848000001</v>
      </c>
      <c r="CH88" s="19">
        <f t="shared" si="203"/>
        <v>0</v>
      </c>
      <c r="CI88" s="19">
        <f t="shared" si="203"/>
        <v>0</v>
      </c>
      <c r="CJ88" s="19">
        <f t="shared" si="203"/>
        <v>10.156603848000001</v>
      </c>
      <c r="CK88" s="19">
        <f t="shared" si="203"/>
        <v>0</v>
      </c>
      <c r="CL88" s="19">
        <v>16.637572585320001</v>
      </c>
      <c r="CM88" s="19">
        <f t="shared" si="203"/>
        <v>0</v>
      </c>
      <c r="CN88" s="19">
        <f t="shared" si="203"/>
        <v>0</v>
      </c>
      <c r="CO88" s="19">
        <f>SUM(CO89:CO92)</f>
        <v>16.637572585320001</v>
      </c>
      <c r="CP88" s="19">
        <f>SUM(CP89:CP92)</f>
        <v>0</v>
      </c>
      <c r="CQ88" s="19">
        <f t="shared" ref="CQ88:CU88" si="204">SUM(CQ89:CQ92)</f>
        <v>16.518022207320001</v>
      </c>
      <c r="CR88" s="19">
        <f t="shared" si="204"/>
        <v>0</v>
      </c>
      <c r="CS88" s="19">
        <f t="shared" si="204"/>
        <v>0</v>
      </c>
      <c r="CT88" s="19">
        <f t="shared" si="204"/>
        <v>16.518022207320001</v>
      </c>
      <c r="CU88" s="19">
        <f t="shared" si="204"/>
        <v>0</v>
      </c>
      <c r="CV88" s="16" t="s">
        <v>103</v>
      </c>
    </row>
    <row r="89" spans="1:100" s="8" customFormat="1" ht="63" x14ac:dyDescent="0.25">
      <c r="A89" s="24" t="s">
        <v>144</v>
      </c>
      <c r="B89" s="20" t="s">
        <v>145</v>
      </c>
      <c r="C89" s="36" t="s">
        <v>183</v>
      </c>
      <c r="D89" s="16" t="s">
        <v>111</v>
      </c>
      <c r="E89" s="16">
        <v>2025</v>
      </c>
      <c r="F89" s="16">
        <v>2025</v>
      </c>
      <c r="G89" s="16">
        <v>2025</v>
      </c>
      <c r="H89" s="19">
        <f>0.26280793*1.2</f>
        <v>0.31536951600000002</v>
      </c>
      <c r="I89" s="19">
        <f>1.808308*1.2</f>
        <v>2.1699695999999999</v>
      </c>
      <c r="J89" s="22" t="s">
        <v>134</v>
      </c>
      <c r="K89" s="22">
        <f t="shared" ref="K89:M91" si="205">H89</f>
        <v>0.31536951600000002</v>
      </c>
      <c r="L89" s="22">
        <f t="shared" si="205"/>
        <v>2.1699695999999999</v>
      </c>
      <c r="M89" s="22" t="str">
        <f t="shared" si="205"/>
        <v>ноябрь 2023 г.</v>
      </c>
      <c r="N89" s="16" t="s">
        <v>103</v>
      </c>
      <c r="O89" s="11">
        <v>0</v>
      </c>
      <c r="P89" s="19">
        <f>4693.58964576/1000</f>
        <v>4.6935896457600004</v>
      </c>
      <c r="Q89" s="19">
        <f>4918.88194875648/1000</f>
        <v>4.9188819487564794</v>
      </c>
      <c r="R89" s="19">
        <f>4693.58964576/1000</f>
        <v>4.6935896457600004</v>
      </c>
      <c r="S89" s="19">
        <f>5520.12139519904/1000</f>
        <v>5.5201213951990402</v>
      </c>
      <c r="T89" s="19">
        <f>AN89</f>
        <v>2.3946570456600003</v>
      </c>
      <c r="U89" s="19">
        <f>O89+CT89</f>
        <v>2.3946570456599998</v>
      </c>
      <c r="V89" s="26">
        <f t="shared" si="200"/>
        <v>2.3946570456600003</v>
      </c>
      <c r="W89" s="26">
        <f>T89-Y89-AD89</f>
        <v>2.3946570456600003</v>
      </c>
      <c r="X89" s="19">
        <f>AV89+BF89+BP89+BZ89+CJ89</f>
        <v>2.3946570456599998</v>
      </c>
      <c r="Y89" s="19">
        <v>0</v>
      </c>
      <c r="Z89" s="19">
        <v>0</v>
      </c>
      <c r="AA89" s="19">
        <v>0</v>
      </c>
      <c r="AB89" s="19">
        <v>0</v>
      </c>
      <c r="AC89" s="19">
        <v>0</v>
      </c>
      <c r="AD89" s="19">
        <v>0</v>
      </c>
      <c r="AE89" s="19">
        <v>0</v>
      </c>
      <c r="AF89" s="19">
        <v>0</v>
      </c>
      <c r="AG89" s="19">
        <v>0</v>
      </c>
      <c r="AH89" s="19">
        <v>0</v>
      </c>
      <c r="AI89" s="19">
        <f>SUM(AJ89:AM89)</f>
        <v>0</v>
      </c>
      <c r="AJ89" s="19">
        <v>0</v>
      </c>
      <c r="AK89" s="19">
        <v>0</v>
      </c>
      <c r="AL89" s="19">
        <v>0</v>
      </c>
      <c r="AM89" s="19">
        <v>0</v>
      </c>
      <c r="AN89" s="19">
        <f>AQ89</f>
        <v>2.3946570456600003</v>
      </c>
      <c r="AO89" s="19">
        <v>0</v>
      </c>
      <c r="AP89" s="19">
        <v>0</v>
      </c>
      <c r="AQ89" s="19">
        <f>2394.65704566/1000</f>
        <v>2.3946570456600003</v>
      </c>
      <c r="AR89" s="19">
        <v>0</v>
      </c>
      <c r="AS89" s="19">
        <f>SUM(AT89:AW89)</f>
        <v>2.3946570456599998</v>
      </c>
      <c r="AT89" s="19">
        <v>0</v>
      </c>
      <c r="AU89" s="19">
        <v>0</v>
      </c>
      <c r="AV89" s="19">
        <v>2.3946570456599998</v>
      </c>
      <c r="AW89" s="19">
        <v>0</v>
      </c>
      <c r="AX89" s="19">
        <v>0</v>
      </c>
      <c r="AY89" s="19">
        <v>0</v>
      </c>
      <c r="AZ89" s="19">
        <v>0</v>
      </c>
      <c r="BA89" s="19">
        <v>0</v>
      </c>
      <c r="BB89" s="19">
        <v>0</v>
      </c>
      <c r="BC89" s="19">
        <v>0</v>
      </c>
      <c r="BD89" s="19">
        <v>0</v>
      </c>
      <c r="BE89" s="19">
        <v>0</v>
      </c>
      <c r="BF89" s="19">
        <v>0</v>
      </c>
      <c r="BG89" s="19">
        <v>0</v>
      </c>
      <c r="BH89" s="19">
        <v>0</v>
      </c>
      <c r="BI89" s="19">
        <v>0</v>
      </c>
      <c r="BJ89" s="19">
        <v>0</v>
      </c>
      <c r="BK89" s="19">
        <v>0</v>
      </c>
      <c r="BL89" s="19">
        <v>0</v>
      </c>
      <c r="BM89" s="19">
        <f>SUM(BN89:BQ89)</f>
        <v>0</v>
      </c>
      <c r="BN89" s="19">
        <v>0</v>
      </c>
      <c r="BO89" s="19">
        <v>0</v>
      </c>
      <c r="BP89" s="19">
        <v>0</v>
      </c>
      <c r="BQ89" s="19">
        <v>0</v>
      </c>
      <c r="BR89" s="19">
        <v>0</v>
      </c>
      <c r="BS89" s="19">
        <v>0</v>
      </c>
      <c r="BT89" s="19">
        <v>0</v>
      </c>
      <c r="BU89" s="19">
        <v>0</v>
      </c>
      <c r="BV89" s="19">
        <v>0</v>
      </c>
      <c r="BW89" s="19">
        <f>SUM(BX89:CA89)</f>
        <v>0</v>
      </c>
      <c r="BX89" s="19">
        <v>0</v>
      </c>
      <c r="BY89" s="19">
        <v>0</v>
      </c>
      <c r="BZ89" s="19">
        <v>0</v>
      </c>
      <c r="CA89" s="19">
        <v>0</v>
      </c>
      <c r="CB89" s="19">
        <v>0</v>
      </c>
      <c r="CC89" s="19">
        <v>0</v>
      </c>
      <c r="CD89" s="19">
        <v>0</v>
      </c>
      <c r="CE89" s="19">
        <v>0</v>
      </c>
      <c r="CF89" s="19">
        <v>0</v>
      </c>
      <c r="CG89" s="19">
        <f>SUM(CH89:CK89)</f>
        <v>0</v>
      </c>
      <c r="CH89" s="19">
        <v>0</v>
      </c>
      <c r="CI89" s="19">
        <v>0</v>
      </c>
      <c r="CJ89" s="19">
        <v>0</v>
      </c>
      <c r="CK89" s="19">
        <v>0</v>
      </c>
      <c r="CL89" s="21">
        <v>2.3946570456600003</v>
      </c>
      <c r="CM89" s="19">
        <v>0</v>
      </c>
      <c r="CN89" s="19">
        <v>0</v>
      </c>
      <c r="CO89" s="21">
        <f>AQ89</f>
        <v>2.3946570456600003</v>
      </c>
      <c r="CP89" s="19">
        <v>0</v>
      </c>
      <c r="CQ89" s="19">
        <f>SUM(CR89:CU89)</f>
        <v>2.3946570456599998</v>
      </c>
      <c r="CR89" s="19">
        <v>0</v>
      </c>
      <c r="CS89" s="19">
        <v>0</v>
      </c>
      <c r="CT89" s="19">
        <f>CJ89+BZ89+BP89+BF89+AV89+AL89</f>
        <v>2.3946570456599998</v>
      </c>
      <c r="CU89" s="19">
        <v>0</v>
      </c>
      <c r="CV89" s="31" t="s">
        <v>130</v>
      </c>
    </row>
    <row r="90" spans="1:100" s="8" customFormat="1" ht="63" x14ac:dyDescent="0.25">
      <c r="A90" s="24" t="s">
        <v>146</v>
      </c>
      <c r="B90" s="20" t="s">
        <v>147</v>
      </c>
      <c r="C90" s="36" t="s">
        <v>184</v>
      </c>
      <c r="D90" s="16" t="s">
        <v>111</v>
      </c>
      <c r="E90" s="16">
        <v>2025</v>
      </c>
      <c r="F90" s="16">
        <v>2025</v>
      </c>
      <c r="G90" s="16">
        <v>2025</v>
      </c>
      <c r="H90" s="19">
        <v>0.31536951600000002</v>
      </c>
      <c r="I90" s="19">
        <v>2.1699695999999999</v>
      </c>
      <c r="J90" s="22" t="s">
        <v>134</v>
      </c>
      <c r="K90" s="22">
        <f t="shared" si="205"/>
        <v>0.31536951600000002</v>
      </c>
      <c r="L90" s="22">
        <f t="shared" si="205"/>
        <v>2.1699695999999999</v>
      </c>
      <c r="M90" s="22" t="str">
        <f t="shared" si="205"/>
        <v>ноябрь 2023 г.</v>
      </c>
      <c r="N90" s="16" t="s">
        <v>103</v>
      </c>
      <c r="O90" s="11">
        <v>0</v>
      </c>
      <c r="P90" s="19">
        <f>4693.58964576/1000</f>
        <v>4.6935896457600004</v>
      </c>
      <c r="Q90" s="19">
        <f>4918.88194875648/1000</f>
        <v>4.9188819487564794</v>
      </c>
      <c r="R90" s="19">
        <f>4693.58964576/1000</f>
        <v>4.6935896457600004</v>
      </c>
      <c r="S90" s="19">
        <f>5520.12139519904/1000</f>
        <v>5.5201213951990402</v>
      </c>
      <c r="T90" s="19">
        <v>2.3946570456600003</v>
      </c>
      <c r="U90" s="19">
        <f>O90+CT90</f>
        <v>2.3946570456599998</v>
      </c>
      <c r="V90" s="26">
        <f t="shared" si="200"/>
        <v>2.3946570456600003</v>
      </c>
      <c r="W90" s="26">
        <f>T90-Y90-AD90</f>
        <v>2.3946570456600003</v>
      </c>
      <c r="X90" s="19">
        <f t="shared" ref="X90:X92" si="206">AV90+BF90+BP90+BZ90+CJ90</f>
        <v>2.3946570456599998</v>
      </c>
      <c r="Y90" s="19">
        <v>0</v>
      </c>
      <c r="Z90" s="19">
        <v>0</v>
      </c>
      <c r="AA90" s="19">
        <v>0</v>
      </c>
      <c r="AB90" s="19">
        <v>0</v>
      </c>
      <c r="AC90" s="19">
        <v>0</v>
      </c>
      <c r="AD90" s="19">
        <v>0</v>
      </c>
      <c r="AE90" s="19">
        <v>0</v>
      </c>
      <c r="AF90" s="19">
        <v>0</v>
      </c>
      <c r="AG90" s="19">
        <v>0</v>
      </c>
      <c r="AH90" s="19">
        <v>0</v>
      </c>
      <c r="AI90" s="19">
        <f t="shared" ref="AI90:AI92" si="207">SUM(AJ90:AM90)</f>
        <v>0</v>
      </c>
      <c r="AJ90" s="19">
        <v>0</v>
      </c>
      <c r="AK90" s="19">
        <v>0</v>
      </c>
      <c r="AL90" s="19">
        <v>0</v>
      </c>
      <c r="AM90" s="19">
        <v>0</v>
      </c>
      <c r="AN90" s="19">
        <f>AQ90</f>
        <v>2.3946570456600003</v>
      </c>
      <c r="AO90" s="19">
        <v>0</v>
      </c>
      <c r="AP90" s="19">
        <v>0</v>
      </c>
      <c r="AQ90" s="19">
        <v>2.3946570456600003</v>
      </c>
      <c r="AR90" s="19">
        <v>0</v>
      </c>
      <c r="AS90" s="19">
        <f t="shared" ref="AS90:AS92" si="208">SUM(AT90:AW90)</f>
        <v>2.3946570456599998</v>
      </c>
      <c r="AT90" s="19">
        <v>0</v>
      </c>
      <c r="AU90" s="19">
        <v>0</v>
      </c>
      <c r="AV90" s="19">
        <v>2.3946570456599998</v>
      </c>
      <c r="AW90" s="19">
        <v>0</v>
      </c>
      <c r="AX90" s="19">
        <v>0</v>
      </c>
      <c r="AY90" s="19">
        <v>0</v>
      </c>
      <c r="AZ90" s="19">
        <v>0</v>
      </c>
      <c r="BA90" s="19">
        <v>0</v>
      </c>
      <c r="BB90" s="19">
        <v>0</v>
      </c>
      <c r="BC90" s="19">
        <v>0</v>
      </c>
      <c r="BD90" s="19">
        <v>0</v>
      </c>
      <c r="BE90" s="19">
        <v>0</v>
      </c>
      <c r="BF90" s="19">
        <v>0</v>
      </c>
      <c r="BG90" s="19">
        <v>0</v>
      </c>
      <c r="BH90" s="19">
        <v>0</v>
      </c>
      <c r="BI90" s="19">
        <v>0</v>
      </c>
      <c r="BJ90" s="19">
        <v>0</v>
      </c>
      <c r="BK90" s="19">
        <v>0</v>
      </c>
      <c r="BL90" s="19">
        <v>0</v>
      </c>
      <c r="BM90" s="19">
        <f t="shared" ref="BM90:BM92" si="209">SUM(BN90:BQ90)</f>
        <v>0</v>
      </c>
      <c r="BN90" s="19">
        <v>0</v>
      </c>
      <c r="BO90" s="19">
        <v>0</v>
      </c>
      <c r="BP90" s="19">
        <v>0</v>
      </c>
      <c r="BQ90" s="19">
        <v>0</v>
      </c>
      <c r="BR90" s="19">
        <v>0</v>
      </c>
      <c r="BS90" s="19">
        <v>0</v>
      </c>
      <c r="BT90" s="19">
        <v>0</v>
      </c>
      <c r="BU90" s="19">
        <v>0</v>
      </c>
      <c r="BV90" s="19">
        <v>0</v>
      </c>
      <c r="BW90" s="19">
        <f t="shared" ref="BW90:BW92" si="210">SUM(BX90:CA90)</f>
        <v>0</v>
      </c>
      <c r="BX90" s="19">
        <v>0</v>
      </c>
      <c r="BY90" s="19">
        <v>0</v>
      </c>
      <c r="BZ90" s="19">
        <v>0</v>
      </c>
      <c r="CA90" s="19">
        <v>0</v>
      </c>
      <c r="CB90" s="19">
        <v>0</v>
      </c>
      <c r="CC90" s="19">
        <v>0</v>
      </c>
      <c r="CD90" s="19">
        <v>0</v>
      </c>
      <c r="CE90" s="19">
        <v>0</v>
      </c>
      <c r="CF90" s="19">
        <v>0</v>
      </c>
      <c r="CG90" s="19">
        <f t="shared" ref="CG90:CG92" si="211">SUM(CH90:CK90)</f>
        <v>0</v>
      </c>
      <c r="CH90" s="19">
        <v>0</v>
      </c>
      <c r="CI90" s="19">
        <v>0</v>
      </c>
      <c r="CJ90" s="19">
        <v>0</v>
      </c>
      <c r="CK90" s="19">
        <v>0</v>
      </c>
      <c r="CL90" s="21">
        <v>2.3946570456600003</v>
      </c>
      <c r="CM90" s="19">
        <v>0</v>
      </c>
      <c r="CN90" s="19">
        <v>0</v>
      </c>
      <c r="CO90" s="21">
        <f>AQ90</f>
        <v>2.3946570456600003</v>
      </c>
      <c r="CP90" s="19">
        <v>0</v>
      </c>
      <c r="CQ90" s="19">
        <f t="shared" ref="CQ90:CQ92" si="212">SUM(CR90:CU90)</f>
        <v>2.3946570456599998</v>
      </c>
      <c r="CR90" s="19">
        <v>0</v>
      </c>
      <c r="CS90" s="19">
        <v>0</v>
      </c>
      <c r="CT90" s="19">
        <f>CJ90+BZ90+BP90+BF90+AV90+AL90</f>
        <v>2.3946570456599998</v>
      </c>
      <c r="CU90" s="19">
        <v>0</v>
      </c>
      <c r="CV90" s="31" t="s">
        <v>130</v>
      </c>
    </row>
    <row r="91" spans="1:100" s="8" customFormat="1" ht="63" x14ac:dyDescent="0.25">
      <c r="A91" s="24" t="s">
        <v>148</v>
      </c>
      <c r="B91" s="20" t="s">
        <v>247</v>
      </c>
      <c r="C91" s="36" t="s">
        <v>185</v>
      </c>
      <c r="D91" s="16" t="s">
        <v>111</v>
      </c>
      <c r="E91" s="16">
        <v>2029</v>
      </c>
      <c r="F91" s="16">
        <v>2029</v>
      </c>
      <c r="G91" s="16">
        <v>2029</v>
      </c>
      <c r="H91" s="19">
        <f>0.81426948*1.2</f>
        <v>0.97712337599999999</v>
      </c>
      <c r="I91" s="19">
        <v>7.6883318639999993</v>
      </c>
      <c r="J91" s="22" t="s">
        <v>134</v>
      </c>
      <c r="K91" s="22">
        <f t="shared" si="205"/>
        <v>0.97712337599999999</v>
      </c>
      <c r="L91" s="22">
        <f t="shared" si="205"/>
        <v>7.6883318639999993</v>
      </c>
      <c r="M91" s="22" t="str">
        <f t="shared" si="205"/>
        <v>ноябрь 2023 г.</v>
      </c>
      <c r="N91" s="16" t="s">
        <v>103</v>
      </c>
      <c r="O91" s="11">
        <v>0</v>
      </c>
      <c r="P91" s="11">
        <f>21110.7536508/1000</f>
        <v>21.1107536508</v>
      </c>
      <c r="Q91" s="19">
        <f>26484.4987979324/1000</f>
        <v>26.4844987979324</v>
      </c>
      <c r="R91" s="19">
        <f>21110.7536508/1000</f>
        <v>21.1107536508</v>
      </c>
      <c r="S91" s="19">
        <f>29749.3250167399/1000</f>
        <v>29.749325016739899</v>
      </c>
      <c r="T91" s="19">
        <f>CB91</f>
        <v>10.156603848000001</v>
      </c>
      <c r="U91" s="19">
        <f>O91+CT91</f>
        <v>10.156603848000001</v>
      </c>
      <c r="V91" s="26">
        <f t="shared" si="200"/>
        <v>10.156603848000001</v>
      </c>
      <c r="W91" s="26">
        <f>T91-Y91-AD91</f>
        <v>10.156603848000001</v>
      </c>
      <c r="X91" s="19">
        <f t="shared" si="206"/>
        <v>10.156603848000001</v>
      </c>
      <c r="Y91" s="19">
        <v>0</v>
      </c>
      <c r="Z91" s="19">
        <v>0</v>
      </c>
      <c r="AA91" s="19">
        <v>0</v>
      </c>
      <c r="AB91" s="19">
        <v>0</v>
      </c>
      <c r="AC91" s="19">
        <v>0</v>
      </c>
      <c r="AD91" s="19">
        <v>0</v>
      </c>
      <c r="AE91" s="19">
        <v>0</v>
      </c>
      <c r="AF91" s="19">
        <v>0</v>
      </c>
      <c r="AG91" s="19">
        <v>0</v>
      </c>
      <c r="AH91" s="19">
        <v>0</v>
      </c>
      <c r="AI91" s="19">
        <f t="shared" si="207"/>
        <v>0</v>
      </c>
      <c r="AJ91" s="19">
        <v>0</v>
      </c>
      <c r="AK91" s="19">
        <v>0</v>
      </c>
      <c r="AL91" s="19">
        <v>0</v>
      </c>
      <c r="AM91" s="19">
        <v>0</v>
      </c>
      <c r="AN91" s="19">
        <v>0</v>
      </c>
      <c r="AO91" s="19">
        <v>0</v>
      </c>
      <c r="AP91" s="19">
        <v>0</v>
      </c>
      <c r="AQ91" s="19">
        <v>0</v>
      </c>
      <c r="AR91" s="19">
        <v>0</v>
      </c>
      <c r="AS91" s="19">
        <f t="shared" si="208"/>
        <v>0</v>
      </c>
      <c r="AT91" s="19">
        <v>0</v>
      </c>
      <c r="AU91" s="19">
        <v>0</v>
      </c>
      <c r="AV91" s="19">
        <v>0</v>
      </c>
      <c r="AW91" s="19">
        <v>0</v>
      </c>
      <c r="AX91" s="19">
        <f>BA91</f>
        <v>0</v>
      </c>
      <c r="AY91" s="19">
        <v>0</v>
      </c>
      <c r="AZ91" s="19">
        <v>0</v>
      </c>
      <c r="BA91" s="19">
        <v>0</v>
      </c>
      <c r="BB91" s="19">
        <v>0</v>
      </c>
      <c r="BC91" s="19">
        <v>0</v>
      </c>
      <c r="BD91" s="19">
        <v>0</v>
      </c>
      <c r="BE91" s="19">
        <v>0</v>
      </c>
      <c r="BF91" s="19">
        <v>0</v>
      </c>
      <c r="BG91" s="19">
        <v>0</v>
      </c>
      <c r="BH91" s="19">
        <v>0</v>
      </c>
      <c r="BI91" s="19">
        <v>0</v>
      </c>
      <c r="BJ91" s="19">
        <v>0</v>
      </c>
      <c r="BK91" s="19">
        <v>0</v>
      </c>
      <c r="BL91" s="19">
        <v>0</v>
      </c>
      <c r="BM91" s="19">
        <f t="shared" si="209"/>
        <v>0</v>
      </c>
      <c r="BN91" s="19">
        <v>0</v>
      </c>
      <c r="BO91" s="19">
        <v>0</v>
      </c>
      <c r="BP91" s="19">
        <v>0</v>
      </c>
      <c r="BQ91" s="19">
        <v>0</v>
      </c>
      <c r="BR91" s="19">
        <v>0</v>
      </c>
      <c r="BS91" s="19">
        <v>0</v>
      </c>
      <c r="BT91" s="19">
        <v>0</v>
      </c>
      <c r="BU91" s="19">
        <v>0</v>
      </c>
      <c r="BV91" s="19">
        <v>0</v>
      </c>
      <c r="BW91" s="19">
        <f t="shared" si="210"/>
        <v>0</v>
      </c>
      <c r="BX91" s="19">
        <v>0</v>
      </c>
      <c r="BY91" s="19">
        <v>0</v>
      </c>
      <c r="BZ91" s="19">
        <v>0</v>
      </c>
      <c r="CA91" s="19">
        <v>0</v>
      </c>
      <c r="CB91" s="19">
        <f>CC91+CD91+CE91+CF91</f>
        <v>10.156603848000001</v>
      </c>
      <c r="CC91" s="19">
        <v>0</v>
      </c>
      <c r="CD91" s="19">
        <v>0</v>
      </c>
      <c r="CE91" s="19">
        <f>10156.603848/1000</f>
        <v>10.156603848000001</v>
      </c>
      <c r="CF91" s="19">
        <v>0</v>
      </c>
      <c r="CG91" s="19">
        <f t="shared" si="211"/>
        <v>10.156603848000001</v>
      </c>
      <c r="CH91" s="19">
        <v>0</v>
      </c>
      <c r="CI91" s="19">
        <v>0</v>
      </c>
      <c r="CJ91" s="19">
        <f>CE91</f>
        <v>10.156603848000001</v>
      </c>
      <c r="CK91" s="19">
        <v>0</v>
      </c>
      <c r="CL91" s="21">
        <v>10.156603848000001</v>
      </c>
      <c r="CM91" s="19">
        <v>0</v>
      </c>
      <c r="CN91" s="19">
        <v>0</v>
      </c>
      <c r="CO91" s="21">
        <f>CE91</f>
        <v>10.156603848000001</v>
      </c>
      <c r="CP91" s="19">
        <v>0</v>
      </c>
      <c r="CQ91" s="19">
        <f t="shared" si="212"/>
        <v>10.156603848000001</v>
      </c>
      <c r="CR91" s="19">
        <v>0</v>
      </c>
      <c r="CS91" s="19">
        <v>0</v>
      </c>
      <c r="CT91" s="19">
        <f>CJ91+BZ91+BP91+BF91+AV91+AL91</f>
        <v>10.156603848000001</v>
      </c>
      <c r="CU91" s="19">
        <v>0</v>
      </c>
      <c r="CV91" s="31" t="s">
        <v>130</v>
      </c>
    </row>
    <row r="92" spans="1:100" s="8" customFormat="1" ht="63" x14ac:dyDescent="0.25">
      <c r="A92" s="24" t="s">
        <v>224</v>
      </c>
      <c r="B92" s="20" t="s">
        <v>225</v>
      </c>
      <c r="C92" s="36" t="s">
        <v>226</v>
      </c>
      <c r="D92" s="16" t="s">
        <v>111</v>
      </c>
      <c r="E92" s="16">
        <v>2024</v>
      </c>
      <c r="F92" s="16">
        <v>2024</v>
      </c>
      <c r="G92" s="16">
        <v>2024</v>
      </c>
      <c r="H92" s="19">
        <v>0.16466913</v>
      </c>
      <c r="I92" s="19">
        <v>1.61997418</v>
      </c>
      <c r="J92" s="22" t="s">
        <v>134</v>
      </c>
      <c r="K92" s="22">
        <f t="shared" ref="K92:K109" si="213">H92</f>
        <v>0.16466913</v>
      </c>
      <c r="L92" s="22">
        <f>AL92</f>
        <v>1.5721042679999999</v>
      </c>
      <c r="M92" s="22" t="str">
        <f t="shared" ref="M92:M109" si="214">J92</f>
        <v>ноябрь 2023 г.</v>
      </c>
      <c r="N92" s="16" t="s">
        <v>103</v>
      </c>
      <c r="O92" s="11">
        <v>0</v>
      </c>
      <c r="P92" s="19">
        <f>4939.42705248/1000</f>
        <v>4.9394270524800001</v>
      </c>
      <c r="Q92" s="19">
        <f>4939.42705248/1000</f>
        <v>4.9394270524800001</v>
      </c>
      <c r="R92" s="19">
        <f>4939.42705248/1000</f>
        <v>4.9394270524800001</v>
      </c>
      <c r="S92" s="19">
        <v>4.9394270524800001</v>
      </c>
      <c r="T92" s="19">
        <f>O92+CL92</f>
        <v>1.6916546459999999</v>
      </c>
      <c r="U92" s="19">
        <f>Y92+CQ92</f>
        <v>1.5721042679999999</v>
      </c>
      <c r="V92" s="26">
        <f t="shared" si="200"/>
        <v>1.6916546459999999</v>
      </c>
      <c r="W92" s="26">
        <f>T92-Y92-AD92</f>
        <v>0</v>
      </c>
      <c r="X92" s="19">
        <f t="shared" si="206"/>
        <v>0</v>
      </c>
      <c r="Y92" s="19">
        <v>0</v>
      </c>
      <c r="Z92" s="19">
        <v>0</v>
      </c>
      <c r="AA92" s="19">
        <v>0</v>
      </c>
      <c r="AB92" s="19">
        <v>0</v>
      </c>
      <c r="AC92" s="19">
        <v>0</v>
      </c>
      <c r="AD92" s="19">
        <f>AG92</f>
        <v>1.6916546459999999</v>
      </c>
      <c r="AE92" s="19">
        <v>0</v>
      </c>
      <c r="AF92" s="19">
        <v>0</v>
      </c>
      <c r="AG92" s="19">
        <f>1691.654646/1000</f>
        <v>1.6916546459999999</v>
      </c>
      <c r="AH92" s="19">
        <v>0</v>
      </c>
      <c r="AI92" s="19">
        <f t="shared" si="207"/>
        <v>1.5721042679999999</v>
      </c>
      <c r="AJ92" s="19">
        <v>0</v>
      </c>
      <c r="AK92" s="19">
        <v>0</v>
      </c>
      <c r="AL92" s="19">
        <v>1.5721042679999999</v>
      </c>
      <c r="AM92" s="19">
        <v>0</v>
      </c>
      <c r="AN92" s="19">
        <v>0</v>
      </c>
      <c r="AO92" s="19">
        <v>0</v>
      </c>
      <c r="AP92" s="19">
        <v>0</v>
      </c>
      <c r="AQ92" s="19">
        <v>0</v>
      </c>
      <c r="AR92" s="19">
        <v>0</v>
      </c>
      <c r="AS92" s="19">
        <f t="shared" si="208"/>
        <v>0</v>
      </c>
      <c r="AT92" s="19">
        <v>0</v>
      </c>
      <c r="AU92" s="19">
        <v>0</v>
      </c>
      <c r="AV92" s="19">
        <v>0</v>
      </c>
      <c r="AW92" s="19">
        <v>0</v>
      </c>
      <c r="AX92" s="19">
        <v>0</v>
      </c>
      <c r="AY92" s="19">
        <v>0</v>
      </c>
      <c r="AZ92" s="19">
        <v>0</v>
      </c>
      <c r="BA92" s="19">
        <v>0</v>
      </c>
      <c r="BB92" s="19">
        <v>0</v>
      </c>
      <c r="BC92" s="19">
        <v>0</v>
      </c>
      <c r="BD92" s="19">
        <v>0</v>
      </c>
      <c r="BE92" s="19">
        <v>0</v>
      </c>
      <c r="BF92" s="19">
        <v>0</v>
      </c>
      <c r="BG92" s="19">
        <v>0</v>
      </c>
      <c r="BH92" s="19">
        <v>0</v>
      </c>
      <c r="BI92" s="19">
        <v>0</v>
      </c>
      <c r="BJ92" s="19">
        <v>0</v>
      </c>
      <c r="BK92" s="19">
        <v>0</v>
      </c>
      <c r="BL92" s="19">
        <v>0</v>
      </c>
      <c r="BM92" s="19">
        <f t="shared" si="209"/>
        <v>0</v>
      </c>
      <c r="BN92" s="19">
        <v>0</v>
      </c>
      <c r="BO92" s="19">
        <v>0</v>
      </c>
      <c r="BP92" s="19">
        <v>0</v>
      </c>
      <c r="BQ92" s="19">
        <v>0</v>
      </c>
      <c r="BR92" s="19">
        <v>0</v>
      </c>
      <c r="BS92" s="19">
        <v>0</v>
      </c>
      <c r="BT92" s="19">
        <v>0</v>
      </c>
      <c r="BU92" s="19">
        <v>0</v>
      </c>
      <c r="BV92" s="19">
        <v>0</v>
      </c>
      <c r="BW92" s="19">
        <f t="shared" si="210"/>
        <v>0</v>
      </c>
      <c r="BX92" s="19">
        <v>0</v>
      </c>
      <c r="BY92" s="19">
        <v>0</v>
      </c>
      <c r="BZ92" s="19">
        <v>0</v>
      </c>
      <c r="CA92" s="19">
        <v>0</v>
      </c>
      <c r="CB92" s="19">
        <v>0</v>
      </c>
      <c r="CC92" s="19">
        <v>0</v>
      </c>
      <c r="CD92" s="19">
        <v>0</v>
      </c>
      <c r="CE92" s="19">
        <v>0</v>
      </c>
      <c r="CF92" s="19">
        <v>0</v>
      </c>
      <c r="CG92" s="19">
        <f t="shared" si="211"/>
        <v>0</v>
      </c>
      <c r="CH92" s="19">
        <v>0</v>
      </c>
      <c r="CI92" s="19">
        <v>0</v>
      </c>
      <c r="CJ92" s="19">
        <v>0</v>
      </c>
      <c r="CK92" s="19">
        <v>0</v>
      </c>
      <c r="CL92" s="21">
        <v>1.6916546459999999</v>
      </c>
      <c r="CM92" s="19">
        <v>0</v>
      </c>
      <c r="CN92" s="19">
        <v>0</v>
      </c>
      <c r="CO92" s="21">
        <f>CE92+BU92+BK92+BA92+AQ92+AG92</f>
        <v>1.6916546459999999</v>
      </c>
      <c r="CP92" s="19">
        <v>0</v>
      </c>
      <c r="CQ92" s="19">
        <f t="shared" si="212"/>
        <v>1.5721042679999999</v>
      </c>
      <c r="CR92" s="19">
        <v>0</v>
      </c>
      <c r="CS92" s="19">
        <v>0</v>
      </c>
      <c r="CT92" s="19">
        <f>CJ92+BZ92+BP92+BF92+AV92+AL92</f>
        <v>1.5721042679999999</v>
      </c>
      <c r="CU92" s="19">
        <v>0</v>
      </c>
      <c r="CV92" s="32" t="s">
        <v>130</v>
      </c>
    </row>
    <row r="93" spans="1:100" s="8" customFormat="1" ht="47.25" x14ac:dyDescent="0.25">
      <c r="A93" s="17" t="s">
        <v>67</v>
      </c>
      <c r="B93" s="18" t="s">
        <v>68</v>
      </c>
      <c r="C93" s="16" t="s">
        <v>103</v>
      </c>
      <c r="D93" s="16" t="s">
        <v>103</v>
      </c>
      <c r="E93" s="16" t="s">
        <v>103</v>
      </c>
      <c r="F93" s="16" t="s">
        <v>103</v>
      </c>
      <c r="G93" s="16" t="s">
        <v>103</v>
      </c>
      <c r="H93" s="19">
        <v>0</v>
      </c>
      <c r="I93" s="19">
        <v>0</v>
      </c>
      <c r="J93" s="16" t="s">
        <v>103</v>
      </c>
      <c r="K93" s="19">
        <f t="shared" si="213"/>
        <v>0</v>
      </c>
      <c r="L93" s="19">
        <f t="shared" ref="L93:L109" si="215">I93</f>
        <v>0</v>
      </c>
      <c r="M93" s="19" t="str">
        <f t="shared" si="214"/>
        <v>нд</v>
      </c>
      <c r="N93" s="16" t="s">
        <v>103</v>
      </c>
      <c r="O93" s="16" t="s">
        <v>103</v>
      </c>
      <c r="P93" s="19" t="s">
        <v>103</v>
      </c>
      <c r="Q93" s="19" t="s">
        <v>103</v>
      </c>
      <c r="R93" s="19" t="s">
        <v>103</v>
      </c>
      <c r="S93" s="19" t="s">
        <v>103</v>
      </c>
      <c r="T93" s="19">
        <v>0</v>
      </c>
      <c r="U93" s="19">
        <v>0</v>
      </c>
      <c r="V93" s="26">
        <f t="shared" si="200"/>
        <v>0</v>
      </c>
      <c r="W93" s="19" t="s">
        <v>103</v>
      </c>
      <c r="X93" s="19" t="s">
        <v>103</v>
      </c>
      <c r="Y93" s="19" t="s">
        <v>103</v>
      </c>
      <c r="Z93" s="19" t="s">
        <v>103</v>
      </c>
      <c r="AA93" s="19" t="s">
        <v>103</v>
      </c>
      <c r="AB93" s="19" t="s">
        <v>103</v>
      </c>
      <c r="AC93" s="19" t="s">
        <v>103</v>
      </c>
      <c r="AD93" s="19" t="s">
        <v>103</v>
      </c>
      <c r="AE93" s="19" t="s">
        <v>103</v>
      </c>
      <c r="AF93" s="19" t="s">
        <v>103</v>
      </c>
      <c r="AG93" s="19" t="s">
        <v>103</v>
      </c>
      <c r="AH93" s="19" t="s">
        <v>103</v>
      </c>
      <c r="AI93" s="19" t="s">
        <v>103</v>
      </c>
      <c r="AJ93" s="19" t="s">
        <v>103</v>
      </c>
      <c r="AK93" s="19" t="s">
        <v>103</v>
      </c>
      <c r="AL93" s="19" t="s">
        <v>103</v>
      </c>
      <c r="AM93" s="19" t="s">
        <v>103</v>
      </c>
      <c r="AN93" s="19" t="s">
        <v>103</v>
      </c>
      <c r="AO93" s="19" t="s">
        <v>103</v>
      </c>
      <c r="AP93" s="19" t="s">
        <v>103</v>
      </c>
      <c r="AQ93" s="19" t="s">
        <v>103</v>
      </c>
      <c r="AR93" s="21">
        <v>0</v>
      </c>
      <c r="AS93" s="21">
        <v>0</v>
      </c>
      <c r="AT93" s="21">
        <v>0</v>
      </c>
      <c r="AU93" s="21">
        <v>0</v>
      </c>
      <c r="AV93" s="21">
        <v>0</v>
      </c>
      <c r="AW93" s="21">
        <v>0</v>
      </c>
      <c r="AX93" s="23" t="s">
        <v>103</v>
      </c>
      <c r="AY93" s="23" t="s">
        <v>103</v>
      </c>
      <c r="AZ93" s="23" t="s">
        <v>103</v>
      </c>
      <c r="BA93" s="23" t="s">
        <v>103</v>
      </c>
      <c r="BB93" s="23" t="s">
        <v>103</v>
      </c>
      <c r="BC93" s="23" t="s">
        <v>103</v>
      </c>
      <c r="BD93" s="23" t="s">
        <v>103</v>
      </c>
      <c r="BE93" s="23" t="s">
        <v>103</v>
      </c>
      <c r="BF93" s="23" t="s">
        <v>103</v>
      </c>
      <c r="BG93" s="23" t="s">
        <v>103</v>
      </c>
      <c r="BH93" s="23" t="s">
        <v>103</v>
      </c>
      <c r="BI93" s="23" t="s">
        <v>103</v>
      </c>
      <c r="BJ93" s="23" t="s">
        <v>103</v>
      </c>
      <c r="BK93" s="23" t="s">
        <v>103</v>
      </c>
      <c r="BL93" s="23" t="s">
        <v>103</v>
      </c>
      <c r="BM93" s="23" t="s">
        <v>103</v>
      </c>
      <c r="BN93" s="23" t="s">
        <v>103</v>
      </c>
      <c r="BO93" s="23" t="s">
        <v>103</v>
      </c>
      <c r="BP93" s="23" t="s">
        <v>103</v>
      </c>
      <c r="BQ93" s="23" t="s">
        <v>103</v>
      </c>
      <c r="BR93" s="23" t="s">
        <v>103</v>
      </c>
      <c r="BS93" s="23" t="s">
        <v>103</v>
      </c>
      <c r="BT93" s="23" t="s">
        <v>103</v>
      </c>
      <c r="BU93" s="23" t="s">
        <v>103</v>
      </c>
      <c r="BV93" s="23" t="s">
        <v>103</v>
      </c>
      <c r="BW93" s="23" t="s">
        <v>103</v>
      </c>
      <c r="BX93" s="23" t="s">
        <v>103</v>
      </c>
      <c r="BY93" s="23" t="s">
        <v>103</v>
      </c>
      <c r="BZ93" s="23" t="s">
        <v>103</v>
      </c>
      <c r="CA93" s="23" t="s">
        <v>103</v>
      </c>
      <c r="CB93" s="23" t="s">
        <v>103</v>
      </c>
      <c r="CC93" s="23" t="s">
        <v>103</v>
      </c>
      <c r="CD93" s="23" t="s">
        <v>103</v>
      </c>
      <c r="CE93" s="23" t="s">
        <v>103</v>
      </c>
      <c r="CF93" s="23" t="s">
        <v>103</v>
      </c>
      <c r="CG93" s="23" t="s">
        <v>103</v>
      </c>
      <c r="CH93" s="23" t="s">
        <v>103</v>
      </c>
      <c r="CI93" s="23" t="s">
        <v>103</v>
      </c>
      <c r="CJ93" s="23" t="s">
        <v>103</v>
      </c>
      <c r="CK93" s="23" t="s">
        <v>103</v>
      </c>
      <c r="CL93" s="21">
        <v>0</v>
      </c>
      <c r="CM93" s="19">
        <v>0</v>
      </c>
      <c r="CN93" s="19">
        <v>0</v>
      </c>
      <c r="CO93" s="21">
        <f t="shared" ref="CO93:CO109" si="216">T93</f>
        <v>0</v>
      </c>
      <c r="CP93" s="23" t="s">
        <v>103</v>
      </c>
      <c r="CQ93" s="16">
        <f>SUM(CR93:CU93)</f>
        <v>0</v>
      </c>
      <c r="CR93" s="19">
        <f>CM93</f>
        <v>0</v>
      </c>
      <c r="CS93" s="19">
        <f t="shared" ref="CS93:CT108" si="217">CN93</f>
        <v>0</v>
      </c>
      <c r="CT93" s="19">
        <f t="shared" si="217"/>
        <v>0</v>
      </c>
      <c r="CU93" s="16" t="str">
        <f>CP93</f>
        <v>нд</v>
      </c>
      <c r="CV93" s="16" t="s">
        <v>103</v>
      </c>
    </row>
    <row r="94" spans="1:100" s="8" customFormat="1" ht="47.25" x14ac:dyDescent="0.25">
      <c r="A94" s="17" t="s">
        <v>69</v>
      </c>
      <c r="B94" s="18" t="s">
        <v>70</v>
      </c>
      <c r="C94" s="16" t="s">
        <v>103</v>
      </c>
      <c r="D94" s="16" t="s">
        <v>103</v>
      </c>
      <c r="E94" s="16" t="s">
        <v>103</v>
      </c>
      <c r="F94" s="16" t="s">
        <v>103</v>
      </c>
      <c r="G94" s="16" t="s">
        <v>103</v>
      </c>
      <c r="H94" s="19">
        <v>0</v>
      </c>
      <c r="I94" s="19">
        <v>0</v>
      </c>
      <c r="J94" s="16" t="s">
        <v>103</v>
      </c>
      <c r="K94" s="19">
        <f t="shared" si="213"/>
        <v>0</v>
      </c>
      <c r="L94" s="19">
        <f t="shared" si="215"/>
        <v>0</v>
      </c>
      <c r="M94" s="19" t="str">
        <f t="shared" si="214"/>
        <v>нд</v>
      </c>
      <c r="N94" s="16" t="s">
        <v>103</v>
      </c>
      <c r="O94" s="16" t="s">
        <v>103</v>
      </c>
      <c r="P94" s="19" t="s">
        <v>103</v>
      </c>
      <c r="Q94" s="19" t="s">
        <v>103</v>
      </c>
      <c r="R94" s="19" t="s">
        <v>103</v>
      </c>
      <c r="S94" s="19" t="s">
        <v>103</v>
      </c>
      <c r="T94" s="19">
        <v>0</v>
      </c>
      <c r="U94" s="19">
        <v>0</v>
      </c>
      <c r="V94" s="26">
        <f t="shared" si="200"/>
        <v>0</v>
      </c>
      <c r="W94" s="19" t="s">
        <v>103</v>
      </c>
      <c r="X94" s="19" t="s">
        <v>103</v>
      </c>
      <c r="Y94" s="19" t="s">
        <v>103</v>
      </c>
      <c r="Z94" s="19" t="s">
        <v>103</v>
      </c>
      <c r="AA94" s="19" t="s">
        <v>103</v>
      </c>
      <c r="AB94" s="19" t="s">
        <v>103</v>
      </c>
      <c r="AC94" s="19" t="s">
        <v>103</v>
      </c>
      <c r="AD94" s="19" t="s">
        <v>103</v>
      </c>
      <c r="AE94" s="19" t="s">
        <v>103</v>
      </c>
      <c r="AF94" s="19" t="s">
        <v>103</v>
      </c>
      <c r="AG94" s="19" t="s">
        <v>103</v>
      </c>
      <c r="AH94" s="19" t="s">
        <v>103</v>
      </c>
      <c r="AI94" s="19" t="s">
        <v>103</v>
      </c>
      <c r="AJ94" s="19" t="s">
        <v>103</v>
      </c>
      <c r="AK94" s="19" t="s">
        <v>103</v>
      </c>
      <c r="AL94" s="19" t="s">
        <v>103</v>
      </c>
      <c r="AM94" s="19" t="s">
        <v>103</v>
      </c>
      <c r="AN94" s="19" t="s">
        <v>103</v>
      </c>
      <c r="AO94" s="19" t="s">
        <v>103</v>
      </c>
      <c r="AP94" s="19" t="s">
        <v>103</v>
      </c>
      <c r="AQ94" s="19" t="s">
        <v>103</v>
      </c>
      <c r="AR94" s="21">
        <v>0</v>
      </c>
      <c r="AS94" s="21">
        <v>0</v>
      </c>
      <c r="AT94" s="21">
        <v>0</v>
      </c>
      <c r="AU94" s="21">
        <v>0</v>
      </c>
      <c r="AV94" s="21">
        <v>0</v>
      </c>
      <c r="AW94" s="21">
        <v>0</v>
      </c>
      <c r="AX94" s="23" t="s">
        <v>103</v>
      </c>
      <c r="AY94" s="23" t="s">
        <v>103</v>
      </c>
      <c r="AZ94" s="23" t="s">
        <v>103</v>
      </c>
      <c r="BA94" s="23" t="s">
        <v>103</v>
      </c>
      <c r="BB94" s="23" t="s">
        <v>103</v>
      </c>
      <c r="BC94" s="23" t="s">
        <v>103</v>
      </c>
      <c r="BD94" s="23" t="s">
        <v>103</v>
      </c>
      <c r="BE94" s="23" t="s">
        <v>103</v>
      </c>
      <c r="BF94" s="23" t="s">
        <v>103</v>
      </c>
      <c r="BG94" s="23" t="s">
        <v>103</v>
      </c>
      <c r="BH94" s="23" t="s">
        <v>103</v>
      </c>
      <c r="BI94" s="23" t="s">
        <v>103</v>
      </c>
      <c r="BJ94" s="23" t="s">
        <v>103</v>
      </c>
      <c r="BK94" s="23" t="s">
        <v>103</v>
      </c>
      <c r="BL94" s="23" t="s">
        <v>103</v>
      </c>
      <c r="BM94" s="23" t="s">
        <v>103</v>
      </c>
      <c r="BN94" s="23" t="s">
        <v>103</v>
      </c>
      <c r="BO94" s="23" t="s">
        <v>103</v>
      </c>
      <c r="BP94" s="23" t="s">
        <v>103</v>
      </c>
      <c r="BQ94" s="23" t="s">
        <v>103</v>
      </c>
      <c r="BR94" s="23" t="s">
        <v>103</v>
      </c>
      <c r="BS94" s="23" t="s">
        <v>103</v>
      </c>
      <c r="BT94" s="23" t="s">
        <v>103</v>
      </c>
      <c r="BU94" s="23" t="s">
        <v>103</v>
      </c>
      <c r="BV94" s="23" t="s">
        <v>103</v>
      </c>
      <c r="BW94" s="23" t="s">
        <v>103</v>
      </c>
      <c r="BX94" s="23" t="s">
        <v>103</v>
      </c>
      <c r="BY94" s="23" t="s">
        <v>103</v>
      </c>
      <c r="BZ94" s="23" t="s">
        <v>103</v>
      </c>
      <c r="CA94" s="23" t="s">
        <v>103</v>
      </c>
      <c r="CB94" s="23" t="s">
        <v>103</v>
      </c>
      <c r="CC94" s="23" t="s">
        <v>103</v>
      </c>
      <c r="CD94" s="23" t="s">
        <v>103</v>
      </c>
      <c r="CE94" s="23" t="s">
        <v>103</v>
      </c>
      <c r="CF94" s="23" t="s">
        <v>103</v>
      </c>
      <c r="CG94" s="23" t="s">
        <v>103</v>
      </c>
      <c r="CH94" s="23" t="s">
        <v>103</v>
      </c>
      <c r="CI94" s="23" t="s">
        <v>103</v>
      </c>
      <c r="CJ94" s="23" t="s">
        <v>103</v>
      </c>
      <c r="CK94" s="23" t="s">
        <v>103</v>
      </c>
      <c r="CL94" s="21">
        <v>0</v>
      </c>
      <c r="CM94" s="19">
        <v>0</v>
      </c>
      <c r="CN94" s="19">
        <v>0</v>
      </c>
      <c r="CO94" s="21">
        <f t="shared" si="216"/>
        <v>0</v>
      </c>
      <c r="CP94" s="23" t="s">
        <v>103</v>
      </c>
      <c r="CQ94" s="16">
        <f t="shared" ref="CQ94:CQ109" si="218">SUM(CR94:CU94)</f>
        <v>0</v>
      </c>
      <c r="CR94" s="19">
        <f t="shared" ref="CR94:CT109" si="219">CM94</f>
        <v>0</v>
      </c>
      <c r="CS94" s="19">
        <f t="shared" si="217"/>
        <v>0</v>
      </c>
      <c r="CT94" s="19">
        <f t="shared" si="217"/>
        <v>0</v>
      </c>
      <c r="CU94" s="16" t="str">
        <f t="shared" ref="CU94:CU109" si="220">CP94</f>
        <v>нд</v>
      </c>
      <c r="CV94" s="16" t="s">
        <v>103</v>
      </c>
    </row>
    <row r="95" spans="1:100" s="8" customFormat="1" ht="31.5" x14ac:dyDescent="0.25">
      <c r="A95" s="17" t="s">
        <v>71</v>
      </c>
      <c r="B95" s="18" t="s">
        <v>72</v>
      </c>
      <c r="C95" s="16" t="s">
        <v>103</v>
      </c>
      <c r="D95" s="16" t="s">
        <v>103</v>
      </c>
      <c r="E95" s="16" t="s">
        <v>103</v>
      </c>
      <c r="F95" s="16" t="s">
        <v>103</v>
      </c>
      <c r="G95" s="16" t="s">
        <v>103</v>
      </c>
      <c r="H95" s="19">
        <v>0</v>
      </c>
      <c r="I95" s="19">
        <v>0</v>
      </c>
      <c r="J95" s="16" t="s">
        <v>103</v>
      </c>
      <c r="K95" s="19">
        <f t="shared" si="213"/>
        <v>0</v>
      </c>
      <c r="L95" s="19">
        <f t="shared" si="215"/>
        <v>0</v>
      </c>
      <c r="M95" s="19" t="str">
        <f t="shared" si="214"/>
        <v>нд</v>
      </c>
      <c r="N95" s="16" t="s">
        <v>103</v>
      </c>
      <c r="O95" s="16" t="s">
        <v>103</v>
      </c>
      <c r="P95" s="19" t="s">
        <v>103</v>
      </c>
      <c r="Q95" s="19" t="s">
        <v>103</v>
      </c>
      <c r="R95" s="19" t="s">
        <v>103</v>
      </c>
      <c r="S95" s="19" t="s">
        <v>103</v>
      </c>
      <c r="T95" s="19">
        <v>0</v>
      </c>
      <c r="U95" s="19">
        <v>0</v>
      </c>
      <c r="V95" s="26">
        <f t="shared" si="200"/>
        <v>0</v>
      </c>
      <c r="W95" s="19" t="s">
        <v>103</v>
      </c>
      <c r="X95" s="19" t="s">
        <v>103</v>
      </c>
      <c r="Y95" s="19" t="s">
        <v>103</v>
      </c>
      <c r="Z95" s="19" t="s">
        <v>103</v>
      </c>
      <c r="AA95" s="19" t="s">
        <v>103</v>
      </c>
      <c r="AB95" s="19" t="s">
        <v>103</v>
      </c>
      <c r="AC95" s="19" t="s">
        <v>103</v>
      </c>
      <c r="AD95" s="19" t="s">
        <v>103</v>
      </c>
      <c r="AE95" s="19" t="s">
        <v>103</v>
      </c>
      <c r="AF95" s="19" t="s">
        <v>103</v>
      </c>
      <c r="AG95" s="19" t="s">
        <v>103</v>
      </c>
      <c r="AH95" s="19" t="s">
        <v>103</v>
      </c>
      <c r="AI95" s="19" t="s">
        <v>103</v>
      </c>
      <c r="AJ95" s="19" t="s">
        <v>103</v>
      </c>
      <c r="AK95" s="19" t="s">
        <v>103</v>
      </c>
      <c r="AL95" s="19" t="s">
        <v>103</v>
      </c>
      <c r="AM95" s="19" t="s">
        <v>103</v>
      </c>
      <c r="AN95" s="19" t="s">
        <v>103</v>
      </c>
      <c r="AO95" s="19" t="s">
        <v>103</v>
      </c>
      <c r="AP95" s="19" t="s">
        <v>103</v>
      </c>
      <c r="AQ95" s="19" t="s">
        <v>103</v>
      </c>
      <c r="AR95" s="21">
        <v>0</v>
      </c>
      <c r="AS95" s="21">
        <v>0</v>
      </c>
      <c r="AT95" s="21">
        <v>0</v>
      </c>
      <c r="AU95" s="21">
        <v>0</v>
      </c>
      <c r="AV95" s="21">
        <v>0</v>
      </c>
      <c r="AW95" s="21">
        <v>0</v>
      </c>
      <c r="AX95" s="23" t="s">
        <v>103</v>
      </c>
      <c r="AY95" s="23" t="s">
        <v>103</v>
      </c>
      <c r="AZ95" s="23" t="s">
        <v>103</v>
      </c>
      <c r="BA95" s="23" t="s">
        <v>103</v>
      </c>
      <c r="BB95" s="23" t="s">
        <v>103</v>
      </c>
      <c r="BC95" s="23" t="s">
        <v>103</v>
      </c>
      <c r="BD95" s="23" t="s">
        <v>103</v>
      </c>
      <c r="BE95" s="23" t="s">
        <v>103</v>
      </c>
      <c r="BF95" s="23" t="s">
        <v>103</v>
      </c>
      <c r="BG95" s="23" t="s">
        <v>103</v>
      </c>
      <c r="BH95" s="23" t="s">
        <v>103</v>
      </c>
      <c r="BI95" s="23" t="s">
        <v>103</v>
      </c>
      <c r="BJ95" s="23" t="s">
        <v>103</v>
      </c>
      <c r="BK95" s="23" t="s">
        <v>103</v>
      </c>
      <c r="BL95" s="23" t="s">
        <v>103</v>
      </c>
      <c r="BM95" s="23" t="s">
        <v>103</v>
      </c>
      <c r="BN95" s="23" t="s">
        <v>103</v>
      </c>
      <c r="BO95" s="23" t="s">
        <v>103</v>
      </c>
      <c r="BP95" s="23" t="s">
        <v>103</v>
      </c>
      <c r="BQ95" s="23" t="s">
        <v>103</v>
      </c>
      <c r="BR95" s="23" t="s">
        <v>103</v>
      </c>
      <c r="BS95" s="23" t="s">
        <v>103</v>
      </c>
      <c r="BT95" s="23" t="s">
        <v>103</v>
      </c>
      <c r="BU95" s="23" t="s">
        <v>103</v>
      </c>
      <c r="BV95" s="23" t="s">
        <v>103</v>
      </c>
      <c r="BW95" s="23" t="s">
        <v>103</v>
      </c>
      <c r="BX95" s="23" t="s">
        <v>103</v>
      </c>
      <c r="BY95" s="23" t="s">
        <v>103</v>
      </c>
      <c r="BZ95" s="23" t="s">
        <v>103</v>
      </c>
      <c r="CA95" s="23" t="s">
        <v>103</v>
      </c>
      <c r="CB95" s="23" t="s">
        <v>103</v>
      </c>
      <c r="CC95" s="23" t="s">
        <v>103</v>
      </c>
      <c r="CD95" s="23" t="s">
        <v>103</v>
      </c>
      <c r="CE95" s="23" t="s">
        <v>103</v>
      </c>
      <c r="CF95" s="23" t="s">
        <v>103</v>
      </c>
      <c r="CG95" s="23" t="s">
        <v>103</v>
      </c>
      <c r="CH95" s="23" t="s">
        <v>103</v>
      </c>
      <c r="CI95" s="23" t="s">
        <v>103</v>
      </c>
      <c r="CJ95" s="23" t="s">
        <v>103</v>
      </c>
      <c r="CK95" s="23" t="s">
        <v>103</v>
      </c>
      <c r="CL95" s="21">
        <v>0</v>
      </c>
      <c r="CM95" s="19">
        <v>0</v>
      </c>
      <c r="CN95" s="19">
        <v>0</v>
      </c>
      <c r="CO95" s="21">
        <f t="shared" si="216"/>
        <v>0</v>
      </c>
      <c r="CP95" s="23" t="s">
        <v>103</v>
      </c>
      <c r="CQ95" s="16">
        <f t="shared" si="218"/>
        <v>0</v>
      </c>
      <c r="CR95" s="19">
        <f t="shared" si="219"/>
        <v>0</v>
      </c>
      <c r="CS95" s="19">
        <f t="shared" si="217"/>
        <v>0</v>
      </c>
      <c r="CT95" s="19">
        <f t="shared" si="217"/>
        <v>0</v>
      </c>
      <c r="CU95" s="16" t="str">
        <f t="shared" si="220"/>
        <v>нд</v>
      </c>
      <c r="CV95" s="16" t="s">
        <v>103</v>
      </c>
    </row>
    <row r="96" spans="1:100" s="8" customFormat="1" ht="31.5" x14ac:dyDescent="0.25">
      <c r="A96" s="17" t="s">
        <v>73</v>
      </c>
      <c r="B96" s="18" t="s">
        <v>74</v>
      </c>
      <c r="C96" s="16" t="s">
        <v>103</v>
      </c>
      <c r="D96" s="16" t="s">
        <v>103</v>
      </c>
      <c r="E96" s="16" t="s">
        <v>103</v>
      </c>
      <c r="F96" s="16" t="s">
        <v>103</v>
      </c>
      <c r="G96" s="16" t="s">
        <v>103</v>
      </c>
      <c r="H96" s="19">
        <v>0</v>
      </c>
      <c r="I96" s="19">
        <v>0</v>
      </c>
      <c r="J96" s="16" t="s">
        <v>103</v>
      </c>
      <c r="K96" s="19">
        <f t="shared" si="213"/>
        <v>0</v>
      </c>
      <c r="L96" s="19">
        <f t="shared" si="215"/>
        <v>0</v>
      </c>
      <c r="M96" s="19" t="str">
        <f t="shared" si="214"/>
        <v>нд</v>
      </c>
      <c r="N96" s="16" t="s">
        <v>103</v>
      </c>
      <c r="O96" s="16" t="s">
        <v>103</v>
      </c>
      <c r="P96" s="19" t="s">
        <v>103</v>
      </c>
      <c r="Q96" s="19" t="s">
        <v>103</v>
      </c>
      <c r="R96" s="19" t="s">
        <v>103</v>
      </c>
      <c r="S96" s="19" t="s">
        <v>103</v>
      </c>
      <c r="T96" s="19">
        <v>0</v>
      </c>
      <c r="U96" s="19">
        <v>0</v>
      </c>
      <c r="V96" s="26">
        <f t="shared" si="200"/>
        <v>0</v>
      </c>
      <c r="W96" s="19" t="s">
        <v>103</v>
      </c>
      <c r="X96" s="19" t="s">
        <v>103</v>
      </c>
      <c r="Y96" s="19" t="s">
        <v>103</v>
      </c>
      <c r="Z96" s="19" t="s">
        <v>103</v>
      </c>
      <c r="AA96" s="19" t="s">
        <v>103</v>
      </c>
      <c r="AB96" s="19" t="s">
        <v>103</v>
      </c>
      <c r="AC96" s="19" t="s">
        <v>103</v>
      </c>
      <c r="AD96" s="19" t="s">
        <v>103</v>
      </c>
      <c r="AE96" s="19" t="s">
        <v>103</v>
      </c>
      <c r="AF96" s="19" t="s">
        <v>103</v>
      </c>
      <c r="AG96" s="19" t="s">
        <v>103</v>
      </c>
      <c r="AH96" s="19" t="s">
        <v>103</v>
      </c>
      <c r="AI96" s="19" t="s">
        <v>103</v>
      </c>
      <c r="AJ96" s="19" t="s">
        <v>103</v>
      </c>
      <c r="AK96" s="19" t="s">
        <v>103</v>
      </c>
      <c r="AL96" s="19" t="s">
        <v>103</v>
      </c>
      <c r="AM96" s="19" t="s">
        <v>103</v>
      </c>
      <c r="AN96" s="19" t="s">
        <v>103</v>
      </c>
      <c r="AO96" s="19" t="s">
        <v>103</v>
      </c>
      <c r="AP96" s="19" t="s">
        <v>103</v>
      </c>
      <c r="AQ96" s="19" t="s">
        <v>103</v>
      </c>
      <c r="AR96" s="21">
        <v>0</v>
      </c>
      <c r="AS96" s="21">
        <v>0</v>
      </c>
      <c r="AT96" s="21">
        <v>0</v>
      </c>
      <c r="AU96" s="21">
        <v>0</v>
      </c>
      <c r="AV96" s="21">
        <v>0</v>
      </c>
      <c r="AW96" s="21">
        <v>0</v>
      </c>
      <c r="AX96" s="23" t="s">
        <v>103</v>
      </c>
      <c r="AY96" s="23" t="s">
        <v>103</v>
      </c>
      <c r="AZ96" s="23" t="s">
        <v>103</v>
      </c>
      <c r="BA96" s="23" t="s">
        <v>103</v>
      </c>
      <c r="BB96" s="23" t="s">
        <v>103</v>
      </c>
      <c r="BC96" s="23" t="s">
        <v>103</v>
      </c>
      <c r="BD96" s="23" t="s">
        <v>103</v>
      </c>
      <c r="BE96" s="23" t="s">
        <v>103</v>
      </c>
      <c r="BF96" s="23" t="s">
        <v>103</v>
      </c>
      <c r="BG96" s="23" t="s">
        <v>103</v>
      </c>
      <c r="BH96" s="23" t="s">
        <v>103</v>
      </c>
      <c r="BI96" s="23" t="s">
        <v>103</v>
      </c>
      <c r="BJ96" s="23" t="s">
        <v>103</v>
      </c>
      <c r="BK96" s="23" t="s">
        <v>103</v>
      </c>
      <c r="BL96" s="23" t="s">
        <v>103</v>
      </c>
      <c r="BM96" s="23" t="s">
        <v>103</v>
      </c>
      <c r="BN96" s="23" t="s">
        <v>103</v>
      </c>
      <c r="BO96" s="23" t="s">
        <v>103</v>
      </c>
      <c r="BP96" s="23" t="s">
        <v>103</v>
      </c>
      <c r="BQ96" s="23" t="s">
        <v>103</v>
      </c>
      <c r="BR96" s="23" t="s">
        <v>103</v>
      </c>
      <c r="BS96" s="23" t="s">
        <v>103</v>
      </c>
      <c r="BT96" s="23" t="s">
        <v>103</v>
      </c>
      <c r="BU96" s="23" t="s">
        <v>103</v>
      </c>
      <c r="BV96" s="23" t="s">
        <v>103</v>
      </c>
      <c r="BW96" s="23" t="s">
        <v>103</v>
      </c>
      <c r="BX96" s="23" t="s">
        <v>103</v>
      </c>
      <c r="BY96" s="23" t="s">
        <v>103</v>
      </c>
      <c r="BZ96" s="23" t="s">
        <v>103</v>
      </c>
      <c r="CA96" s="23" t="s">
        <v>103</v>
      </c>
      <c r="CB96" s="23" t="s">
        <v>103</v>
      </c>
      <c r="CC96" s="23" t="s">
        <v>103</v>
      </c>
      <c r="CD96" s="23" t="s">
        <v>103</v>
      </c>
      <c r="CE96" s="23" t="s">
        <v>103</v>
      </c>
      <c r="CF96" s="23" t="s">
        <v>103</v>
      </c>
      <c r="CG96" s="23" t="s">
        <v>103</v>
      </c>
      <c r="CH96" s="23" t="s">
        <v>103</v>
      </c>
      <c r="CI96" s="23" t="s">
        <v>103</v>
      </c>
      <c r="CJ96" s="23" t="s">
        <v>103</v>
      </c>
      <c r="CK96" s="23" t="s">
        <v>103</v>
      </c>
      <c r="CL96" s="21">
        <v>0</v>
      </c>
      <c r="CM96" s="19">
        <v>0</v>
      </c>
      <c r="CN96" s="19">
        <v>0</v>
      </c>
      <c r="CO96" s="21">
        <f t="shared" si="216"/>
        <v>0</v>
      </c>
      <c r="CP96" s="23" t="s">
        <v>103</v>
      </c>
      <c r="CQ96" s="16">
        <f t="shared" si="218"/>
        <v>0</v>
      </c>
      <c r="CR96" s="19">
        <f t="shared" si="219"/>
        <v>0</v>
      </c>
      <c r="CS96" s="19">
        <f t="shared" si="217"/>
        <v>0</v>
      </c>
      <c r="CT96" s="19">
        <f t="shared" si="217"/>
        <v>0</v>
      </c>
      <c r="CU96" s="16" t="str">
        <f t="shared" si="220"/>
        <v>нд</v>
      </c>
      <c r="CV96" s="16" t="s">
        <v>103</v>
      </c>
    </row>
    <row r="97" spans="1:100" s="8" customFormat="1" ht="47.25" x14ac:dyDescent="0.25">
      <c r="A97" s="17" t="s">
        <v>75</v>
      </c>
      <c r="B97" s="18" t="s">
        <v>76</v>
      </c>
      <c r="C97" s="16" t="s">
        <v>103</v>
      </c>
      <c r="D97" s="16" t="s">
        <v>103</v>
      </c>
      <c r="E97" s="16" t="s">
        <v>103</v>
      </c>
      <c r="F97" s="16" t="s">
        <v>103</v>
      </c>
      <c r="G97" s="16" t="s">
        <v>103</v>
      </c>
      <c r="H97" s="19">
        <v>0</v>
      </c>
      <c r="I97" s="19">
        <v>0</v>
      </c>
      <c r="J97" s="16" t="s">
        <v>103</v>
      </c>
      <c r="K97" s="19">
        <f t="shared" si="213"/>
        <v>0</v>
      </c>
      <c r="L97" s="19">
        <f t="shared" si="215"/>
        <v>0</v>
      </c>
      <c r="M97" s="19" t="str">
        <f t="shared" si="214"/>
        <v>нд</v>
      </c>
      <c r="N97" s="16" t="s">
        <v>103</v>
      </c>
      <c r="O97" s="16" t="s">
        <v>103</v>
      </c>
      <c r="P97" s="19" t="s">
        <v>103</v>
      </c>
      <c r="Q97" s="19" t="s">
        <v>103</v>
      </c>
      <c r="R97" s="19" t="s">
        <v>103</v>
      </c>
      <c r="S97" s="19" t="s">
        <v>103</v>
      </c>
      <c r="T97" s="19">
        <v>0</v>
      </c>
      <c r="U97" s="19">
        <v>0</v>
      </c>
      <c r="V97" s="26">
        <f t="shared" si="200"/>
        <v>0</v>
      </c>
      <c r="W97" s="19" t="s">
        <v>103</v>
      </c>
      <c r="X97" s="19" t="s">
        <v>103</v>
      </c>
      <c r="Y97" s="19" t="s">
        <v>103</v>
      </c>
      <c r="Z97" s="19" t="s">
        <v>103</v>
      </c>
      <c r="AA97" s="19" t="s">
        <v>103</v>
      </c>
      <c r="AB97" s="19" t="s">
        <v>103</v>
      </c>
      <c r="AC97" s="19" t="s">
        <v>103</v>
      </c>
      <c r="AD97" s="19" t="s">
        <v>103</v>
      </c>
      <c r="AE97" s="19" t="s">
        <v>103</v>
      </c>
      <c r="AF97" s="19" t="s">
        <v>103</v>
      </c>
      <c r="AG97" s="19" t="s">
        <v>103</v>
      </c>
      <c r="AH97" s="19" t="s">
        <v>103</v>
      </c>
      <c r="AI97" s="19" t="s">
        <v>103</v>
      </c>
      <c r="AJ97" s="19" t="s">
        <v>103</v>
      </c>
      <c r="AK97" s="19" t="s">
        <v>103</v>
      </c>
      <c r="AL97" s="19" t="s">
        <v>103</v>
      </c>
      <c r="AM97" s="19" t="s">
        <v>103</v>
      </c>
      <c r="AN97" s="19" t="s">
        <v>103</v>
      </c>
      <c r="AO97" s="19" t="s">
        <v>103</v>
      </c>
      <c r="AP97" s="19" t="s">
        <v>103</v>
      </c>
      <c r="AQ97" s="19" t="s">
        <v>103</v>
      </c>
      <c r="AR97" s="21">
        <v>0</v>
      </c>
      <c r="AS97" s="21">
        <v>0</v>
      </c>
      <c r="AT97" s="21">
        <v>0</v>
      </c>
      <c r="AU97" s="21">
        <v>0</v>
      </c>
      <c r="AV97" s="21">
        <v>0</v>
      </c>
      <c r="AW97" s="21">
        <v>0</v>
      </c>
      <c r="AX97" s="23" t="s">
        <v>103</v>
      </c>
      <c r="AY97" s="23" t="s">
        <v>103</v>
      </c>
      <c r="AZ97" s="23" t="s">
        <v>103</v>
      </c>
      <c r="BA97" s="23" t="s">
        <v>103</v>
      </c>
      <c r="BB97" s="23" t="s">
        <v>103</v>
      </c>
      <c r="BC97" s="23" t="s">
        <v>103</v>
      </c>
      <c r="BD97" s="23" t="s">
        <v>103</v>
      </c>
      <c r="BE97" s="23" t="s">
        <v>103</v>
      </c>
      <c r="BF97" s="23" t="s">
        <v>103</v>
      </c>
      <c r="BG97" s="23" t="s">
        <v>103</v>
      </c>
      <c r="BH97" s="23" t="s">
        <v>103</v>
      </c>
      <c r="BI97" s="23" t="s">
        <v>103</v>
      </c>
      <c r="BJ97" s="23" t="s">
        <v>103</v>
      </c>
      <c r="BK97" s="23" t="s">
        <v>103</v>
      </c>
      <c r="BL97" s="23" t="s">
        <v>103</v>
      </c>
      <c r="BM97" s="23" t="s">
        <v>103</v>
      </c>
      <c r="BN97" s="23" t="s">
        <v>103</v>
      </c>
      <c r="BO97" s="23" t="s">
        <v>103</v>
      </c>
      <c r="BP97" s="23" t="s">
        <v>103</v>
      </c>
      <c r="BQ97" s="23" t="s">
        <v>103</v>
      </c>
      <c r="BR97" s="23" t="s">
        <v>103</v>
      </c>
      <c r="BS97" s="23" t="s">
        <v>103</v>
      </c>
      <c r="BT97" s="23" t="s">
        <v>103</v>
      </c>
      <c r="BU97" s="23" t="s">
        <v>103</v>
      </c>
      <c r="BV97" s="23" t="s">
        <v>103</v>
      </c>
      <c r="BW97" s="23" t="s">
        <v>103</v>
      </c>
      <c r="BX97" s="23" t="s">
        <v>103</v>
      </c>
      <c r="BY97" s="23" t="s">
        <v>103</v>
      </c>
      <c r="BZ97" s="23" t="s">
        <v>103</v>
      </c>
      <c r="CA97" s="23" t="s">
        <v>103</v>
      </c>
      <c r="CB97" s="23" t="s">
        <v>103</v>
      </c>
      <c r="CC97" s="23" t="s">
        <v>103</v>
      </c>
      <c r="CD97" s="23" t="s">
        <v>103</v>
      </c>
      <c r="CE97" s="23" t="s">
        <v>103</v>
      </c>
      <c r="CF97" s="23" t="s">
        <v>103</v>
      </c>
      <c r="CG97" s="23" t="s">
        <v>103</v>
      </c>
      <c r="CH97" s="23" t="s">
        <v>103</v>
      </c>
      <c r="CI97" s="23" t="s">
        <v>103</v>
      </c>
      <c r="CJ97" s="23" t="s">
        <v>103</v>
      </c>
      <c r="CK97" s="23" t="s">
        <v>103</v>
      </c>
      <c r="CL97" s="21">
        <v>0</v>
      </c>
      <c r="CM97" s="19">
        <v>0</v>
      </c>
      <c r="CN97" s="19">
        <v>0</v>
      </c>
      <c r="CO97" s="21">
        <f t="shared" si="216"/>
        <v>0</v>
      </c>
      <c r="CP97" s="23" t="s">
        <v>103</v>
      </c>
      <c r="CQ97" s="16">
        <f t="shared" si="218"/>
        <v>0</v>
      </c>
      <c r="CR97" s="19">
        <f t="shared" si="219"/>
        <v>0</v>
      </c>
      <c r="CS97" s="19">
        <f t="shared" si="217"/>
        <v>0</v>
      </c>
      <c r="CT97" s="19">
        <f t="shared" si="217"/>
        <v>0</v>
      </c>
      <c r="CU97" s="16" t="str">
        <f t="shared" si="220"/>
        <v>нд</v>
      </c>
      <c r="CV97" s="16" t="s">
        <v>103</v>
      </c>
    </row>
    <row r="98" spans="1:100" s="8" customFormat="1" ht="63" x14ac:dyDescent="0.25">
      <c r="A98" s="17" t="s">
        <v>77</v>
      </c>
      <c r="B98" s="18" t="s">
        <v>78</v>
      </c>
      <c r="C98" s="16" t="s">
        <v>103</v>
      </c>
      <c r="D98" s="16" t="s">
        <v>103</v>
      </c>
      <c r="E98" s="16" t="s">
        <v>103</v>
      </c>
      <c r="F98" s="16" t="s">
        <v>103</v>
      </c>
      <c r="G98" s="16" t="s">
        <v>103</v>
      </c>
      <c r="H98" s="19">
        <v>0</v>
      </c>
      <c r="I98" s="19">
        <v>0</v>
      </c>
      <c r="J98" s="16" t="s">
        <v>103</v>
      </c>
      <c r="K98" s="19">
        <f t="shared" si="213"/>
        <v>0</v>
      </c>
      <c r="L98" s="19">
        <f t="shared" si="215"/>
        <v>0</v>
      </c>
      <c r="M98" s="19" t="str">
        <f t="shared" si="214"/>
        <v>нд</v>
      </c>
      <c r="N98" s="16" t="s">
        <v>103</v>
      </c>
      <c r="O98" s="16" t="s">
        <v>103</v>
      </c>
      <c r="P98" s="19" t="s">
        <v>103</v>
      </c>
      <c r="Q98" s="19" t="s">
        <v>103</v>
      </c>
      <c r="R98" s="19" t="s">
        <v>103</v>
      </c>
      <c r="S98" s="19" t="s">
        <v>103</v>
      </c>
      <c r="T98" s="19">
        <v>0</v>
      </c>
      <c r="U98" s="19">
        <v>0</v>
      </c>
      <c r="V98" s="26">
        <f t="shared" si="200"/>
        <v>0</v>
      </c>
      <c r="W98" s="19" t="s">
        <v>103</v>
      </c>
      <c r="X98" s="19" t="s">
        <v>103</v>
      </c>
      <c r="Y98" s="19" t="s">
        <v>103</v>
      </c>
      <c r="Z98" s="19" t="s">
        <v>103</v>
      </c>
      <c r="AA98" s="19" t="s">
        <v>103</v>
      </c>
      <c r="AB98" s="19" t="s">
        <v>103</v>
      </c>
      <c r="AC98" s="19" t="s">
        <v>103</v>
      </c>
      <c r="AD98" s="19" t="s">
        <v>103</v>
      </c>
      <c r="AE98" s="19" t="s">
        <v>103</v>
      </c>
      <c r="AF98" s="19" t="s">
        <v>103</v>
      </c>
      <c r="AG98" s="19" t="s">
        <v>103</v>
      </c>
      <c r="AH98" s="19" t="s">
        <v>103</v>
      </c>
      <c r="AI98" s="19" t="s">
        <v>103</v>
      </c>
      <c r="AJ98" s="19" t="s">
        <v>103</v>
      </c>
      <c r="AK98" s="19" t="s">
        <v>103</v>
      </c>
      <c r="AL98" s="19" t="s">
        <v>103</v>
      </c>
      <c r="AM98" s="19" t="s">
        <v>103</v>
      </c>
      <c r="AN98" s="19" t="s">
        <v>103</v>
      </c>
      <c r="AO98" s="19" t="s">
        <v>103</v>
      </c>
      <c r="AP98" s="19" t="s">
        <v>103</v>
      </c>
      <c r="AQ98" s="19" t="s">
        <v>103</v>
      </c>
      <c r="AR98" s="21">
        <v>0</v>
      </c>
      <c r="AS98" s="21">
        <v>0</v>
      </c>
      <c r="AT98" s="21">
        <v>0</v>
      </c>
      <c r="AU98" s="21">
        <v>0</v>
      </c>
      <c r="AV98" s="21">
        <v>0</v>
      </c>
      <c r="AW98" s="21">
        <v>0</v>
      </c>
      <c r="AX98" s="23" t="s">
        <v>103</v>
      </c>
      <c r="AY98" s="23" t="s">
        <v>103</v>
      </c>
      <c r="AZ98" s="23" t="s">
        <v>103</v>
      </c>
      <c r="BA98" s="23" t="s">
        <v>103</v>
      </c>
      <c r="BB98" s="23" t="s">
        <v>103</v>
      </c>
      <c r="BC98" s="23" t="s">
        <v>103</v>
      </c>
      <c r="BD98" s="23" t="s">
        <v>103</v>
      </c>
      <c r="BE98" s="23" t="s">
        <v>103</v>
      </c>
      <c r="BF98" s="23" t="s">
        <v>103</v>
      </c>
      <c r="BG98" s="23" t="s">
        <v>103</v>
      </c>
      <c r="BH98" s="23" t="s">
        <v>103</v>
      </c>
      <c r="BI98" s="23" t="s">
        <v>103</v>
      </c>
      <c r="BJ98" s="23" t="s">
        <v>103</v>
      </c>
      <c r="BK98" s="23" t="s">
        <v>103</v>
      </c>
      <c r="BL98" s="23" t="s">
        <v>103</v>
      </c>
      <c r="BM98" s="23" t="s">
        <v>103</v>
      </c>
      <c r="BN98" s="23" t="s">
        <v>103</v>
      </c>
      <c r="BO98" s="23" t="s">
        <v>103</v>
      </c>
      <c r="BP98" s="23" t="s">
        <v>103</v>
      </c>
      <c r="BQ98" s="23" t="s">
        <v>103</v>
      </c>
      <c r="BR98" s="23" t="s">
        <v>103</v>
      </c>
      <c r="BS98" s="23" t="s">
        <v>103</v>
      </c>
      <c r="BT98" s="23" t="s">
        <v>103</v>
      </c>
      <c r="BU98" s="23" t="s">
        <v>103</v>
      </c>
      <c r="BV98" s="23" t="s">
        <v>103</v>
      </c>
      <c r="BW98" s="23" t="s">
        <v>103</v>
      </c>
      <c r="BX98" s="23" t="s">
        <v>103</v>
      </c>
      <c r="BY98" s="23" t="s">
        <v>103</v>
      </c>
      <c r="BZ98" s="23" t="s">
        <v>103</v>
      </c>
      <c r="CA98" s="23" t="s">
        <v>103</v>
      </c>
      <c r="CB98" s="23" t="s">
        <v>103</v>
      </c>
      <c r="CC98" s="23" t="s">
        <v>103</v>
      </c>
      <c r="CD98" s="23" t="s">
        <v>103</v>
      </c>
      <c r="CE98" s="23" t="s">
        <v>103</v>
      </c>
      <c r="CF98" s="23" t="s">
        <v>103</v>
      </c>
      <c r="CG98" s="23" t="s">
        <v>103</v>
      </c>
      <c r="CH98" s="23" t="s">
        <v>103</v>
      </c>
      <c r="CI98" s="23" t="s">
        <v>103</v>
      </c>
      <c r="CJ98" s="23" t="s">
        <v>103</v>
      </c>
      <c r="CK98" s="23" t="s">
        <v>103</v>
      </c>
      <c r="CL98" s="21">
        <v>0</v>
      </c>
      <c r="CM98" s="19">
        <v>0</v>
      </c>
      <c r="CN98" s="19">
        <v>0</v>
      </c>
      <c r="CO98" s="21">
        <f t="shared" si="216"/>
        <v>0</v>
      </c>
      <c r="CP98" s="23" t="s">
        <v>103</v>
      </c>
      <c r="CQ98" s="16">
        <f t="shared" si="218"/>
        <v>0</v>
      </c>
      <c r="CR98" s="19">
        <f t="shared" si="219"/>
        <v>0</v>
      </c>
      <c r="CS98" s="19">
        <f t="shared" si="217"/>
        <v>0</v>
      </c>
      <c r="CT98" s="19">
        <f t="shared" si="217"/>
        <v>0</v>
      </c>
      <c r="CU98" s="16" t="str">
        <f t="shared" si="220"/>
        <v>нд</v>
      </c>
      <c r="CV98" s="16" t="s">
        <v>103</v>
      </c>
    </row>
    <row r="99" spans="1:100" s="8" customFormat="1" ht="47.25" x14ac:dyDescent="0.25">
      <c r="A99" s="17" t="s">
        <v>79</v>
      </c>
      <c r="B99" s="18" t="s">
        <v>80</v>
      </c>
      <c r="C99" s="16" t="s">
        <v>103</v>
      </c>
      <c r="D99" s="16" t="s">
        <v>103</v>
      </c>
      <c r="E99" s="16" t="s">
        <v>103</v>
      </c>
      <c r="F99" s="16" t="s">
        <v>103</v>
      </c>
      <c r="G99" s="16" t="s">
        <v>103</v>
      </c>
      <c r="H99" s="19">
        <v>0</v>
      </c>
      <c r="I99" s="19">
        <v>0</v>
      </c>
      <c r="J99" s="16" t="s">
        <v>103</v>
      </c>
      <c r="K99" s="19">
        <f t="shared" si="213"/>
        <v>0</v>
      </c>
      <c r="L99" s="19">
        <f t="shared" si="215"/>
        <v>0</v>
      </c>
      <c r="M99" s="19" t="str">
        <f t="shared" si="214"/>
        <v>нд</v>
      </c>
      <c r="N99" s="16" t="s">
        <v>103</v>
      </c>
      <c r="O99" s="16" t="s">
        <v>103</v>
      </c>
      <c r="P99" s="19" t="s">
        <v>103</v>
      </c>
      <c r="Q99" s="19" t="s">
        <v>103</v>
      </c>
      <c r="R99" s="19" t="s">
        <v>103</v>
      </c>
      <c r="S99" s="19" t="s">
        <v>103</v>
      </c>
      <c r="T99" s="19">
        <v>0</v>
      </c>
      <c r="U99" s="19">
        <v>0</v>
      </c>
      <c r="V99" s="26">
        <f t="shared" si="200"/>
        <v>0</v>
      </c>
      <c r="W99" s="19" t="s">
        <v>103</v>
      </c>
      <c r="X99" s="19" t="s">
        <v>103</v>
      </c>
      <c r="Y99" s="19" t="s">
        <v>103</v>
      </c>
      <c r="Z99" s="19" t="s">
        <v>103</v>
      </c>
      <c r="AA99" s="19" t="s">
        <v>103</v>
      </c>
      <c r="AB99" s="19" t="s">
        <v>103</v>
      </c>
      <c r="AC99" s="19" t="s">
        <v>103</v>
      </c>
      <c r="AD99" s="19" t="s">
        <v>103</v>
      </c>
      <c r="AE99" s="19" t="s">
        <v>103</v>
      </c>
      <c r="AF99" s="19" t="s">
        <v>103</v>
      </c>
      <c r="AG99" s="19" t="s">
        <v>103</v>
      </c>
      <c r="AH99" s="19" t="s">
        <v>103</v>
      </c>
      <c r="AI99" s="19" t="s">
        <v>103</v>
      </c>
      <c r="AJ99" s="19" t="s">
        <v>103</v>
      </c>
      <c r="AK99" s="19" t="s">
        <v>103</v>
      </c>
      <c r="AL99" s="19" t="s">
        <v>103</v>
      </c>
      <c r="AM99" s="19" t="s">
        <v>103</v>
      </c>
      <c r="AN99" s="19" t="s">
        <v>103</v>
      </c>
      <c r="AO99" s="19" t="s">
        <v>103</v>
      </c>
      <c r="AP99" s="19" t="s">
        <v>103</v>
      </c>
      <c r="AQ99" s="19" t="s">
        <v>103</v>
      </c>
      <c r="AR99" s="21">
        <v>0</v>
      </c>
      <c r="AS99" s="21">
        <v>0</v>
      </c>
      <c r="AT99" s="21">
        <v>0</v>
      </c>
      <c r="AU99" s="21">
        <v>0</v>
      </c>
      <c r="AV99" s="21">
        <v>0</v>
      </c>
      <c r="AW99" s="21">
        <v>0</v>
      </c>
      <c r="AX99" s="23" t="s">
        <v>103</v>
      </c>
      <c r="AY99" s="23" t="s">
        <v>103</v>
      </c>
      <c r="AZ99" s="23" t="s">
        <v>103</v>
      </c>
      <c r="BA99" s="23" t="s">
        <v>103</v>
      </c>
      <c r="BB99" s="23" t="s">
        <v>103</v>
      </c>
      <c r="BC99" s="23" t="s">
        <v>103</v>
      </c>
      <c r="BD99" s="23" t="s">
        <v>103</v>
      </c>
      <c r="BE99" s="23" t="s">
        <v>103</v>
      </c>
      <c r="BF99" s="23" t="s">
        <v>103</v>
      </c>
      <c r="BG99" s="23" t="s">
        <v>103</v>
      </c>
      <c r="BH99" s="23" t="s">
        <v>103</v>
      </c>
      <c r="BI99" s="23" t="s">
        <v>103</v>
      </c>
      <c r="BJ99" s="23" t="s">
        <v>103</v>
      </c>
      <c r="BK99" s="23" t="s">
        <v>103</v>
      </c>
      <c r="BL99" s="23" t="s">
        <v>103</v>
      </c>
      <c r="BM99" s="23" t="s">
        <v>103</v>
      </c>
      <c r="BN99" s="23" t="s">
        <v>103</v>
      </c>
      <c r="BO99" s="23" t="s">
        <v>103</v>
      </c>
      <c r="BP99" s="23" t="s">
        <v>103</v>
      </c>
      <c r="BQ99" s="23" t="s">
        <v>103</v>
      </c>
      <c r="BR99" s="23" t="s">
        <v>103</v>
      </c>
      <c r="BS99" s="23" t="s">
        <v>103</v>
      </c>
      <c r="BT99" s="23" t="s">
        <v>103</v>
      </c>
      <c r="BU99" s="23" t="s">
        <v>103</v>
      </c>
      <c r="BV99" s="23" t="s">
        <v>103</v>
      </c>
      <c r="BW99" s="23" t="s">
        <v>103</v>
      </c>
      <c r="BX99" s="23" t="s">
        <v>103</v>
      </c>
      <c r="BY99" s="23" t="s">
        <v>103</v>
      </c>
      <c r="BZ99" s="23" t="s">
        <v>103</v>
      </c>
      <c r="CA99" s="23" t="s">
        <v>103</v>
      </c>
      <c r="CB99" s="23" t="s">
        <v>103</v>
      </c>
      <c r="CC99" s="23" t="s">
        <v>103</v>
      </c>
      <c r="CD99" s="23" t="s">
        <v>103</v>
      </c>
      <c r="CE99" s="23" t="s">
        <v>103</v>
      </c>
      <c r="CF99" s="23" t="s">
        <v>103</v>
      </c>
      <c r="CG99" s="23" t="s">
        <v>103</v>
      </c>
      <c r="CH99" s="23" t="s">
        <v>103</v>
      </c>
      <c r="CI99" s="23" t="s">
        <v>103</v>
      </c>
      <c r="CJ99" s="23" t="s">
        <v>103</v>
      </c>
      <c r="CK99" s="23" t="s">
        <v>103</v>
      </c>
      <c r="CL99" s="21">
        <v>0</v>
      </c>
      <c r="CM99" s="19">
        <v>0</v>
      </c>
      <c r="CN99" s="19">
        <v>0</v>
      </c>
      <c r="CO99" s="21">
        <f t="shared" si="216"/>
        <v>0</v>
      </c>
      <c r="CP99" s="23" t="s">
        <v>103</v>
      </c>
      <c r="CQ99" s="16">
        <f t="shared" si="218"/>
        <v>0</v>
      </c>
      <c r="CR99" s="19">
        <f t="shared" si="219"/>
        <v>0</v>
      </c>
      <c r="CS99" s="19">
        <f t="shared" si="217"/>
        <v>0</v>
      </c>
      <c r="CT99" s="19">
        <f t="shared" si="217"/>
        <v>0</v>
      </c>
      <c r="CU99" s="16" t="str">
        <f t="shared" si="220"/>
        <v>нд</v>
      </c>
      <c r="CV99" s="16" t="s">
        <v>103</v>
      </c>
    </row>
    <row r="100" spans="1:100" s="8" customFormat="1" ht="47.25" x14ac:dyDescent="0.25">
      <c r="A100" s="17" t="s">
        <v>81</v>
      </c>
      <c r="B100" s="18" t="s">
        <v>82</v>
      </c>
      <c r="C100" s="16" t="s">
        <v>103</v>
      </c>
      <c r="D100" s="16" t="s">
        <v>103</v>
      </c>
      <c r="E100" s="16" t="s">
        <v>103</v>
      </c>
      <c r="F100" s="16" t="s">
        <v>103</v>
      </c>
      <c r="G100" s="16" t="s">
        <v>103</v>
      </c>
      <c r="H100" s="19">
        <v>0</v>
      </c>
      <c r="I100" s="19">
        <v>0</v>
      </c>
      <c r="J100" s="16" t="s">
        <v>103</v>
      </c>
      <c r="K100" s="19">
        <f t="shared" si="213"/>
        <v>0</v>
      </c>
      <c r="L100" s="19">
        <f t="shared" si="215"/>
        <v>0</v>
      </c>
      <c r="M100" s="19" t="str">
        <f t="shared" si="214"/>
        <v>нд</v>
      </c>
      <c r="N100" s="16" t="s">
        <v>103</v>
      </c>
      <c r="O100" s="16" t="s">
        <v>103</v>
      </c>
      <c r="P100" s="19" t="s">
        <v>103</v>
      </c>
      <c r="Q100" s="19" t="s">
        <v>103</v>
      </c>
      <c r="R100" s="19" t="s">
        <v>103</v>
      </c>
      <c r="S100" s="19" t="s">
        <v>103</v>
      </c>
      <c r="T100" s="19">
        <v>0</v>
      </c>
      <c r="U100" s="19">
        <v>0</v>
      </c>
      <c r="V100" s="26">
        <f t="shared" si="200"/>
        <v>0</v>
      </c>
      <c r="W100" s="19" t="s">
        <v>103</v>
      </c>
      <c r="X100" s="19" t="s">
        <v>103</v>
      </c>
      <c r="Y100" s="19" t="s">
        <v>103</v>
      </c>
      <c r="Z100" s="19" t="s">
        <v>103</v>
      </c>
      <c r="AA100" s="19" t="s">
        <v>103</v>
      </c>
      <c r="AB100" s="19" t="s">
        <v>103</v>
      </c>
      <c r="AC100" s="19" t="s">
        <v>103</v>
      </c>
      <c r="AD100" s="19" t="s">
        <v>103</v>
      </c>
      <c r="AE100" s="19" t="s">
        <v>103</v>
      </c>
      <c r="AF100" s="19" t="s">
        <v>103</v>
      </c>
      <c r="AG100" s="19" t="s">
        <v>103</v>
      </c>
      <c r="AH100" s="19" t="s">
        <v>103</v>
      </c>
      <c r="AI100" s="19" t="s">
        <v>103</v>
      </c>
      <c r="AJ100" s="19" t="s">
        <v>103</v>
      </c>
      <c r="AK100" s="19" t="s">
        <v>103</v>
      </c>
      <c r="AL100" s="19" t="s">
        <v>103</v>
      </c>
      <c r="AM100" s="19" t="s">
        <v>103</v>
      </c>
      <c r="AN100" s="19" t="s">
        <v>103</v>
      </c>
      <c r="AO100" s="19" t="s">
        <v>103</v>
      </c>
      <c r="AP100" s="19" t="s">
        <v>103</v>
      </c>
      <c r="AQ100" s="19" t="s">
        <v>103</v>
      </c>
      <c r="AR100" s="21">
        <v>0</v>
      </c>
      <c r="AS100" s="21">
        <v>0</v>
      </c>
      <c r="AT100" s="21">
        <v>0</v>
      </c>
      <c r="AU100" s="21">
        <v>0</v>
      </c>
      <c r="AV100" s="21">
        <v>0</v>
      </c>
      <c r="AW100" s="21">
        <v>0</v>
      </c>
      <c r="AX100" s="23" t="s">
        <v>103</v>
      </c>
      <c r="AY100" s="23" t="s">
        <v>103</v>
      </c>
      <c r="AZ100" s="23" t="s">
        <v>103</v>
      </c>
      <c r="BA100" s="23" t="s">
        <v>103</v>
      </c>
      <c r="BB100" s="23" t="s">
        <v>103</v>
      </c>
      <c r="BC100" s="23" t="s">
        <v>103</v>
      </c>
      <c r="BD100" s="23" t="s">
        <v>103</v>
      </c>
      <c r="BE100" s="23" t="s">
        <v>103</v>
      </c>
      <c r="BF100" s="23" t="s">
        <v>103</v>
      </c>
      <c r="BG100" s="23" t="s">
        <v>103</v>
      </c>
      <c r="BH100" s="23" t="s">
        <v>103</v>
      </c>
      <c r="BI100" s="23" t="s">
        <v>103</v>
      </c>
      <c r="BJ100" s="23" t="s">
        <v>103</v>
      </c>
      <c r="BK100" s="23" t="s">
        <v>103</v>
      </c>
      <c r="BL100" s="23" t="s">
        <v>103</v>
      </c>
      <c r="BM100" s="23" t="s">
        <v>103</v>
      </c>
      <c r="BN100" s="23" t="s">
        <v>103</v>
      </c>
      <c r="BO100" s="23" t="s">
        <v>103</v>
      </c>
      <c r="BP100" s="23" t="s">
        <v>103</v>
      </c>
      <c r="BQ100" s="23" t="s">
        <v>103</v>
      </c>
      <c r="BR100" s="23" t="s">
        <v>103</v>
      </c>
      <c r="BS100" s="23" t="s">
        <v>103</v>
      </c>
      <c r="BT100" s="23" t="s">
        <v>103</v>
      </c>
      <c r="BU100" s="23" t="s">
        <v>103</v>
      </c>
      <c r="BV100" s="23" t="s">
        <v>103</v>
      </c>
      <c r="BW100" s="23" t="s">
        <v>103</v>
      </c>
      <c r="BX100" s="23" t="s">
        <v>103</v>
      </c>
      <c r="BY100" s="23" t="s">
        <v>103</v>
      </c>
      <c r="BZ100" s="23" t="s">
        <v>103</v>
      </c>
      <c r="CA100" s="23" t="s">
        <v>103</v>
      </c>
      <c r="CB100" s="23" t="s">
        <v>103</v>
      </c>
      <c r="CC100" s="23" t="s">
        <v>103</v>
      </c>
      <c r="CD100" s="23" t="s">
        <v>103</v>
      </c>
      <c r="CE100" s="23" t="s">
        <v>103</v>
      </c>
      <c r="CF100" s="23" t="s">
        <v>103</v>
      </c>
      <c r="CG100" s="23" t="s">
        <v>103</v>
      </c>
      <c r="CH100" s="23" t="s">
        <v>103</v>
      </c>
      <c r="CI100" s="23" t="s">
        <v>103</v>
      </c>
      <c r="CJ100" s="23" t="s">
        <v>103</v>
      </c>
      <c r="CK100" s="23" t="s">
        <v>103</v>
      </c>
      <c r="CL100" s="21">
        <v>0</v>
      </c>
      <c r="CM100" s="19">
        <v>0</v>
      </c>
      <c r="CN100" s="19">
        <v>0</v>
      </c>
      <c r="CO100" s="21">
        <f t="shared" si="216"/>
        <v>0</v>
      </c>
      <c r="CP100" s="23" t="s">
        <v>103</v>
      </c>
      <c r="CQ100" s="16">
        <f t="shared" si="218"/>
        <v>0</v>
      </c>
      <c r="CR100" s="19">
        <f t="shared" si="219"/>
        <v>0</v>
      </c>
      <c r="CS100" s="19">
        <f t="shared" si="217"/>
        <v>0</v>
      </c>
      <c r="CT100" s="19">
        <f t="shared" si="217"/>
        <v>0</v>
      </c>
      <c r="CU100" s="16" t="str">
        <f t="shared" si="220"/>
        <v>нд</v>
      </c>
      <c r="CV100" s="16" t="s">
        <v>103</v>
      </c>
    </row>
    <row r="101" spans="1:100" s="8" customFormat="1" ht="63" x14ac:dyDescent="0.25">
      <c r="A101" s="17" t="s">
        <v>83</v>
      </c>
      <c r="B101" s="18" t="s">
        <v>84</v>
      </c>
      <c r="C101" s="16" t="s">
        <v>103</v>
      </c>
      <c r="D101" s="16" t="s">
        <v>103</v>
      </c>
      <c r="E101" s="16" t="s">
        <v>103</v>
      </c>
      <c r="F101" s="16" t="s">
        <v>103</v>
      </c>
      <c r="G101" s="16" t="s">
        <v>103</v>
      </c>
      <c r="H101" s="19">
        <v>0</v>
      </c>
      <c r="I101" s="19">
        <v>0</v>
      </c>
      <c r="J101" s="16" t="s">
        <v>103</v>
      </c>
      <c r="K101" s="19">
        <f t="shared" si="213"/>
        <v>0</v>
      </c>
      <c r="L101" s="19">
        <f t="shared" si="215"/>
        <v>0</v>
      </c>
      <c r="M101" s="19" t="str">
        <f t="shared" si="214"/>
        <v>нд</v>
      </c>
      <c r="N101" s="16" t="s">
        <v>103</v>
      </c>
      <c r="O101" s="16" t="s">
        <v>103</v>
      </c>
      <c r="P101" s="19" t="s">
        <v>103</v>
      </c>
      <c r="Q101" s="19" t="s">
        <v>103</v>
      </c>
      <c r="R101" s="19" t="s">
        <v>103</v>
      </c>
      <c r="S101" s="19" t="s">
        <v>103</v>
      </c>
      <c r="T101" s="19">
        <v>0</v>
      </c>
      <c r="U101" s="19">
        <v>0</v>
      </c>
      <c r="V101" s="26">
        <f t="shared" si="200"/>
        <v>0</v>
      </c>
      <c r="W101" s="19" t="s">
        <v>103</v>
      </c>
      <c r="X101" s="19" t="s">
        <v>103</v>
      </c>
      <c r="Y101" s="19" t="s">
        <v>103</v>
      </c>
      <c r="Z101" s="19" t="s">
        <v>103</v>
      </c>
      <c r="AA101" s="19" t="s">
        <v>103</v>
      </c>
      <c r="AB101" s="19" t="s">
        <v>103</v>
      </c>
      <c r="AC101" s="19" t="s">
        <v>103</v>
      </c>
      <c r="AD101" s="19" t="s">
        <v>103</v>
      </c>
      <c r="AE101" s="19" t="s">
        <v>103</v>
      </c>
      <c r="AF101" s="19" t="s">
        <v>103</v>
      </c>
      <c r="AG101" s="19" t="s">
        <v>103</v>
      </c>
      <c r="AH101" s="19" t="s">
        <v>103</v>
      </c>
      <c r="AI101" s="19" t="s">
        <v>103</v>
      </c>
      <c r="AJ101" s="19" t="s">
        <v>103</v>
      </c>
      <c r="AK101" s="19" t="s">
        <v>103</v>
      </c>
      <c r="AL101" s="19" t="s">
        <v>103</v>
      </c>
      <c r="AM101" s="19" t="s">
        <v>103</v>
      </c>
      <c r="AN101" s="19" t="s">
        <v>103</v>
      </c>
      <c r="AO101" s="19" t="s">
        <v>103</v>
      </c>
      <c r="AP101" s="19" t="s">
        <v>103</v>
      </c>
      <c r="AQ101" s="19" t="s">
        <v>103</v>
      </c>
      <c r="AR101" s="21">
        <v>0</v>
      </c>
      <c r="AS101" s="21">
        <v>0</v>
      </c>
      <c r="AT101" s="21">
        <v>0</v>
      </c>
      <c r="AU101" s="21">
        <v>0</v>
      </c>
      <c r="AV101" s="21">
        <v>0</v>
      </c>
      <c r="AW101" s="21">
        <v>0</v>
      </c>
      <c r="AX101" s="23" t="s">
        <v>103</v>
      </c>
      <c r="AY101" s="23" t="s">
        <v>103</v>
      </c>
      <c r="AZ101" s="23" t="s">
        <v>103</v>
      </c>
      <c r="BA101" s="23" t="s">
        <v>103</v>
      </c>
      <c r="BB101" s="23" t="s">
        <v>103</v>
      </c>
      <c r="BC101" s="23" t="s">
        <v>103</v>
      </c>
      <c r="BD101" s="23" t="s">
        <v>103</v>
      </c>
      <c r="BE101" s="23" t="s">
        <v>103</v>
      </c>
      <c r="BF101" s="23" t="s">
        <v>103</v>
      </c>
      <c r="BG101" s="23" t="s">
        <v>103</v>
      </c>
      <c r="BH101" s="23" t="s">
        <v>103</v>
      </c>
      <c r="BI101" s="23" t="s">
        <v>103</v>
      </c>
      <c r="BJ101" s="23" t="s">
        <v>103</v>
      </c>
      <c r="BK101" s="23" t="s">
        <v>103</v>
      </c>
      <c r="BL101" s="23" t="s">
        <v>103</v>
      </c>
      <c r="BM101" s="23" t="s">
        <v>103</v>
      </c>
      <c r="BN101" s="23" t="s">
        <v>103</v>
      </c>
      <c r="BO101" s="23" t="s">
        <v>103</v>
      </c>
      <c r="BP101" s="23" t="s">
        <v>103</v>
      </c>
      <c r="BQ101" s="23" t="s">
        <v>103</v>
      </c>
      <c r="BR101" s="23" t="s">
        <v>103</v>
      </c>
      <c r="BS101" s="23" t="s">
        <v>103</v>
      </c>
      <c r="BT101" s="23" t="s">
        <v>103</v>
      </c>
      <c r="BU101" s="23" t="s">
        <v>103</v>
      </c>
      <c r="BV101" s="23" t="s">
        <v>103</v>
      </c>
      <c r="BW101" s="23" t="s">
        <v>103</v>
      </c>
      <c r="BX101" s="23" t="s">
        <v>103</v>
      </c>
      <c r="BY101" s="23" t="s">
        <v>103</v>
      </c>
      <c r="BZ101" s="23" t="s">
        <v>103</v>
      </c>
      <c r="CA101" s="23" t="s">
        <v>103</v>
      </c>
      <c r="CB101" s="23" t="s">
        <v>103</v>
      </c>
      <c r="CC101" s="23" t="s">
        <v>103</v>
      </c>
      <c r="CD101" s="23" t="s">
        <v>103</v>
      </c>
      <c r="CE101" s="23" t="s">
        <v>103</v>
      </c>
      <c r="CF101" s="23" t="s">
        <v>103</v>
      </c>
      <c r="CG101" s="23" t="s">
        <v>103</v>
      </c>
      <c r="CH101" s="23" t="s">
        <v>103</v>
      </c>
      <c r="CI101" s="23" t="s">
        <v>103</v>
      </c>
      <c r="CJ101" s="23" t="s">
        <v>103</v>
      </c>
      <c r="CK101" s="23" t="s">
        <v>103</v>
      </c>
      <c r="CL101" s="21">
        <v>0</v>
      </c>
      <c r="CM101" s="19">
        <v>0</v>
      </c>
      <c r="CN101" s="19">
        <v>0</v>
      </c>
      <c r="CO101" s="21">
        <f t="shared" si="216"/>
        <v>0</v>
      </c>
      <c r="CP101" s="23" t="s">
        <v>103</v>
      </c>
      <c r="CQ101" s="16">
        <f t="shared" si="218"/>
        <v>0</v>
      </c>
      <c r="CR101" s="19">
        <f t="shared" si="219"/>
        <v>0</v>
      </c>
      <c r="CS101" s="19">
        <f t="shared" si="217"/>
        <v>0</v>
      </c>
      <c r="CT101" s="19">
        <f t="shared" si="217"/>
        <v>0</v>
      </c>
      <c r="CU101" s="16" t="str">
        <f t="shared" si="220"/>
        <v>нд</v>
      </c>
      <c r="CV101" s="16" t="s">
        <v>103</v>
      </c>
    </row>
    <row r="102" spans="1:100" s="8" customFormat="1" ht="63" x14ac:dyDescent="0.25">
      <c r="A102" s="17" t="s">
        <v>85</v>
      </c>
      <c r="B102" s="18" t="s">
        <v>86</v>
      </c>
      <c r="C102" s="16" t="s">
        <v>103</v>
      </c>
      <c r="D102" s="16" t="s">
        <v>103</v>
      </c>
      <c r="E102" s="16" t="s">
        <v>103</v>
      </c>
      <c r="F102" s="16" t="s">
        <v>103</v>
      </c>
      <c r="G102" s="16" t="s">
        <v>103</v>
      </c>
      <c r="H102" s="19">
        <v>0</v>
      </c>
      <c r="I102" s="19">
        <v>0</v>
      </c>
      <c r="J102" s="16" t="s">
        <v>103</v>
      </c>
      <c r="K102" s="19">
        <f t="shared" si="213"/>
        <v>0</v>
      </c>
      <c r="L102" s="19">
        <f t="shared" si="215"/>
        <v>0</v>
      </c>
      <c r="M102" s="19" t="str">
        <f t="shared" si="214"/>
        <v>нд</v>
      </c>
      <c r="N102" s="16" t="s">
        <v>103</v>
      </c>
      <c r="O102" s="16" t="s">
        <v>103</v>
      </c>
      <c r="P102" s="19" t="s">
        <v>103</v>
      </c>
      <c r="Q102" s="19" t="s">
        <v>103</v>
      </c>
      <c r="R102" s="19" t="s">
        <v>103</v>
      </c>
      <c r="S102" s="19" t="s">
        <v>103</v>
      </c>
      <c r="T102" s="19">
        <v>0</v>
      </c>
      <c r="U102" s="19">
        <v>0</v>
      </c>
      <c r="V102" s="26">
        <f t="shared" si="200"/>
        <v>0</v>
      </c>
      <c r="W102" s="19" t="s">
        <v>103</v>
      </c>
      <c r="X102" s="19" t="s">
        <v>103</v>
      </c>
      <c r="Y102" s="19" t="s">
        <v>103</v>
      </c>
      <c r="Z102" s="19" t="s">
        <v>103</v>
      </c>
      <c r="AA102" s="19" t="s">
        <v>103</v>
      </c>
      <c r="AB102" s="19" t="s">
        <v>103</v>
      </c>
      <c r="AC102" s="19" t="s">
        <v>103</v>
      </c>
      <c r="AD102" s="19" t="s">
        <v>103</v>
      </c>
      <c r="AE102" s="19" t="s">
        <v>103</v>
      </c>
      <c r="AF102" s="19" t="s">
        <v>103</v>
      </c>
      <c r="AG102" s="19" t="s">
        <v>103</v>
      </c>
      <c r="AH102" s="19" t="s">
        <v>103</v>
      </c>
      <c r="AI102" s="19" t="s">
        <v>103</v>
      </c>
      <c r="AJ102" s="19" t="s">
        <v>103</v>
      </c>
      <c r="AK102" s="19" t="s">
        <v>103</v>
      </c>
      <c r="AL102" s="19" t="s">
        <v>103</v>
      </c>
      <c r="AM102" s="19" t="s">
        <v>103</v>
      </c>
      <c r="AN102" s="19" t="s">
        <v>103</v>
      </c>
      <c r="AO102" s="19" t="s">
        <v>103</v>
      </c>
      <c r="AP102" s="19" t="s">
        <v>103</v>
      </c>
      <c r="AQ102" s="19" t="s">
        <v>103</v>
      </c>
      <c r="AR102" s="21">
        <v>0</v>
      </c>
      <c r="AS102" s="21">
        <v>0</v>
      </c>
      <c r="AT102" s="21">
        <v>0</v>
      </c>
      <c r="AU102" s="21">
        <v>0</v>
      </c>
      <c r="AV102" s="21">
        <v>0</v>
      </c>
      <c r="AW102" s="21">
        <v>0</v>
      </c>
      <c r="AX102" s="23" t="s">
        <v>103</v>
      </c>
      <c r="AY102" s="23" t="s">
        <v>103</v>
      </c>
      <c r="AZ102" s="23" t="s">
        <v>103</v>
      </c>
      <c r="BA102" s="23" t="s">
        <v>103</v>
      </c>
      <c r="BB102" s="23" t="s">
        <v>103</v>
      </c>
      <c r="BC102" s="23" t="s">
        <v>103</v>
      </c>
      <c r="BD102" s="23" t="s">
        <v>103</v>
      </c>
      <c r="BE102" s="23" t="s">
        <v>103</v>
      </c>
      <c r="BF102" s="23" t="s">
        <v>103</v>
      </c>
      <c r="BG102" s="23" t="s">
        <v>103</v>
      </c>
      <c r="BH102" s="23" t="s">
        <v>103</v>
      </c>
      <c r="BI102" s="23" t="s">
        <v>103</v>
      </c>
      <c r="BJ102" s="23" t="s">
        <v>103</v>
      </c>
      <c r="BK102" s="23" t="s">
        <v>103</v>
      </c>
      <c r="BL102" s="23" t="s">
        <v>103</v>
      </c>
      <c r="BM102" s="23" t="s">
        <v>103</v>
      </c>
      <c r="BN102" s="23" t="s">
        <v>103</v>
      </c>
      <c r="BO102" s="23" t="s">
        <v>103</v>
      </c>
      <c r="BP102" s="23" t="s">
        <v>103</v>
      </c>
      <c r="BQ102" s="23" t="s">
        <v>103</v>
      </c>
      <c r="BR102" s="23" t="s">
        <v>103</v>
      </c>
      <c r="BS102" s="23" t="s">
        <v>103</v>
      </c>
      <c r="BT102" s="23" t="s">
        <v>103</v>
      </c>
      <c r="BU102" s="23" t="s">
        <v>103</v>
      </c>
      <c r="BV102" s="23" t="s">
        <v>103</v>
      </c>
      <c r="BW102" s="23" t="s">
        <v>103</v>
      </c>
      <c r="BX102" s="23" t="s">
        <v>103</v>
      </c>
      <c r="BY102" s="23" t="s">
        <v>103</v>
      </c>
      <c r="BZ102" s="23" t="s">
        <v>103</v>
      </c>
      <c r="CA102" s="23" t="s">
        <v>103</v>
      </c>
      <c r="CB102" s="23" t="s">
        <v>103</v>
      </c>
      <c r="CC102" s="23" t="s">
        <v>103</v>
      </c>
      <c r="CD102" s="23" t="s">
        <v>103</v>
      </c>
      <c r="CE102" s="23" t="s">
        <v>103</v>
      </c>
      <c r="CF102" s="23" t="s">
        <v>103</v>
      </c>
      <c r="CG102" s="23" t="s">
        <v>103</v>
      </c>
      <c r="CH102" s="23" t="s">
        <v>103</v>
      </c>
      <c r="CI102" s="23" t="s">
        <v>103</v>
      </c>
      <c r="CJ102" s="23" t="s">
        <v>103</v>
      </c>
      <c r="CK102" s="23" t="s">
        <v>103</v>
      </c>
      <c r="CL102" s="21">
        <v>0</v>
      </c>
      <c r="CM102" s="19">
        <v>0</v>
      </c>
      <c r="CN102" s="19">
        <v>0</v>
      </c>
      <c r="CO102" s="21">
        <f t="shared" si="216"/>
        <v>0</v>
      </c>
      <c r="CP102" s="23" t="s">
        <v>103</v>
      </c>
      <c r="CQ102" s="16">
        <f t="shared" si="218"/>
        <v>0</v>
      </c>
      <c r="CR102" s="19">
        <f t="shared" si="219"/>
        <v>0</v>
      </c>
      <c r="CS102" s="19">
        <f t="shared" si="217"/>
        <v>0</v>
      </c>
      <c r="CT102" s="19">
        <f t="shared" si="217"/>
        <v>0</v>
      </c>
      <c r="CU102" s="16" t="str">
        <f t="shared" si="220"/>
        <v>нд</v>
      </c>
      <c r="CV102" s="16" t="s">
        <v>103</v>
      </c>
    </row>
    <row r="103" spans="1:100" s="8" customFormat="1" ht="31.5" x14ac:dyDescent="0.25">
      <c r="A103" s="17" t="s">
        <v>87</v>
      </c>
      <c r="B103" s="18" t="s">
        <v>88</v>
      </c>
      <c r="C103" s="16" t="s">
        <v>103</v>
      </c>
      <c r="D103" s="16" t="s">
        <v>103</v>
      </c>
      <c r="E103" s="16" t="s">
        <v>103</v>
      </c>
      <c r="F103" s="16" t="s">
        <v>103</v>
      </c>
      <c r="G103" s="16" t="s">
        <v>103</v>
      </c>
      <c r="H103" s="19">
        <v>0</v>
      </c>
      <c r="I103" s="19">
        <v>0</v>
      </c>
      <c r="J103" s="16" t="s">
        <v>103</v>
      </c>
      <c r="K103" s="19">
        <f t="shared" si="213"/>
        <v>0</v>
      </c>
      <c r="L103" s="19">
        <f t="shared" si="215"/>
        <v>0</v>
      </c>
      <c r="M103" s="19" t="str">
        <f t="shared" si="214"/>
        <v>нд</v>
      </c>
      <c r="N103" s="16" t="s">
        <v>103</v>
      </c>
      <c r="O103" s="16" t="s">
        <v>103</v>
      </c>
      <c r="P103" s="19" t="s">
        <v>103</v>
      </c>
      <c r="Q103" s="19" t="s">
        <v>103</v>
      </c>
      <c r="R103" s="19" t="s">
        <v>103</v>
      </c>
      <c r="S103" s="19" t="s">
        <v>103</v>
      </c>
      <c r="T103" s="19">
        <v>0</v>
      </c>
      <c r="U103" s="19">
        <v>0</v>
      </c>
      <c r="V103" s="26">
        <f t="shared" si="200"/>
        <v>0</v>
      </c>
      <c r="W103" s="19" t="s">
        <v>103</v>
      </c>
      <c r="X103" s="19" t="s">
        <v>103</v>
      </c>
      <c r="Y103" s="19" t="s">
        <v>103</v>
      </c>
      <c r="Z103" s="19" t="s">
        <v>103</v>
      </c>
      <c r="AA103" s="19" t="s">
        <v>103</v>
      </c>
      <c r="AB103" s="19" t="s">
        <v>103</v>
      </c>
      <c r="AC103" s="19" t="s">
        <v>103</v>
      </c>
      <c r="AD103" s="19" t="s">
        <v>103</v>
      </c>
      <c r="AE103" s="19" t="s">
        <v>103</v>
      </c>
      <c r="AF103" s="19" t="s">
        <v>103</v>
      </c>
      <c r="AG103" s="19" t="s">
        <v>103</v>
      </c>
      <c r="AH103" s="19" t="s">
        <v>103</v>
      </c>
      <c r="AI103" s="19" t="s">
        <v>103</v>
      </c>
      <c r="AJ103" s="19" t="s">
        <v>103</v>
      </c>
      <c r="AK103" s="19" t="s">
        <v>103</v>
      </c>
      <c r="AL103" s="19" t="s">
        <v>103</v>
      </c>
      <c r="AM103" s="19" t="s">
        <v>103</v>
      </c>
      <c r="AN103" s="19" t="s">
        <v>103</v>
      </c>
      <c r="AO103" s="19" t="s">
        <v>103</v>
      </c>
      <c r="AP103" s="19" t="s">
        <v>103</v>
      </c>
      <c r="AQ103" s="19" t="s">
        <v>103</v>
      </c>
      <c r="AR103" s="21">
        <v>0</v>
      </c>
      <c r="AS103" s="21">
        <v>0</v>
      </c>
      <c r="AT103" s="21">
        <v>0</v>
      </c>
      <c r="AU103" s="21">
        <v>0</v>
      </c>
      <c r="AV103" s="21">
        <v>0</v>
      </c>
      <c r="AW103" s="21">
        <v>0</v>
      </c>
      <c r="AX103" s="23" t="s">
        <v>103</v>
      </c>
      <c r="AY103" s="23" t="s">
        <v>103</v>
      </c>
      <c r="AZ103" s="23" t="s">
        <v>103</v>
      </c>
      <c r="BA103" s="23" t="s">
        <v>103</v>
      </c>
      <c r="BB103" s="23" t="s">
        <v>103</v>
      </c>
      <c r="BC103" s="23" t="s">
        <v>103</v>
      </c>
      <c r="BD103" s="23" t="s">
        <v>103</v>
      </c>
      <c r="BE103" s="23" t="s">
        <v>103</v>
      </c>
      <c r="BF103" s="23" t="s">
        <v>103</v>
      </c>
      <c r="BG103" s="23" t="s">
        <v>103</v>
      </c>
      <c r="BH103" s="23" t="s">
        <v>103</v>
      </c>
      <c r="BI103" s="23" t="s">
        <v>103</v>
      </c>
      <c r="BJ103" s="23" t="s">
        <v>103</v>
      </c>
      <c r="BK103" s="23" t="s">
        <v>103</v>
      </c>
      <c r="BL103" s="23" t="s">
        <v>103</v>
      </c>
      <c r="BM103" s="23" t="s">
        <v>103</v>
      </c>
      <c r="BN103" s="23" t="s">
        <v>103</v>
      </c>
      <c r="BO103" s="23" t="s">
        <v>103</v>
      </c>
      <c r="BP103" s="23" t="s">
        <v>103</v>
      </c>
      <c r="BQ103" s="23" t="s">
        <v>103</v>
      </c>
      <c r="BR103" s="23" t="s">
        <v>103</v>
      </c>
      <c r="BS103" s="23" t="s">
        <v>103</v>
      </c>
      <c r="BT103" s="23" t="s">
        <v>103</v>
      </c>
      <c r="BU103" s="23" t="s">
        <v>103</v>
      </c>
      <c r="BV103" s="23" t="s">
        <v>103</v>
      </c>
      <c r="BW103" s="23" t="s">
        <v>103</v>
      </c>
      <c r="BX103" s="23" t="s">
        <v>103</v>
      </c>
      <c r="BY103" s="23" t="s">
        <v>103</v>
      </c>
      <c r="BZ103" s="23" t="s">
        <v>103</v>
      </c>
      <c r="CA103" s="23" t="s">
        <v>103</v>
      </c>
      <c r="CB103" s="23" t="s">
        <v>103</v>
      </c>
      <c r="CC103" s="23" t="s">
        <v>103</v>
      </c>
      <c r="CD103" s="23" t="s">
        <v>103</v>
      </c>
      <c r="CE103" s="23" t="s">
        <v>103</v>
      </c>
      <c r="CF103" s="23" t="s">
        <v>103</v>
      </c>
      <c r="CG103" s="23" t="s">
        <v>103</v>
      </c>
      <c r="CH103" s="23" t="s">
        <v>103</v>
      </c>
      <c r="CI103" s="23" t="s">
        <v>103</v>
      </c>
      <c r="CJ103" s="23" t="s">
        <v>103</v>
      </c>
      <c r="CK103" s="23" t="s">
        <v>103</v>
      </c>
      <c r="CL103" s="21">
        <v>0</v>
      </c>
      <c r="CM103" s="19">
        <v>0</v>
      </c>
      <c r="CN103" s="19">
        <v>0</v>
      </c>
      <c r="CO103" s="21">
        <f t="shared" si="216"/>
        <v>0</v>
      </c>
      <c r="CP103" s="23" t="s">
        <v>103</v>
      </c>
      <c r="CQ103" s="16">
        <f t="shared" si="218"/>
        <v>0</v>
      </c>
      <c r="CR103" s="19">
        <f t="shared" si="219"/>
        <v>0</v>
      </c>
      <c r="CS103" s="19">
        <f t="shared" si="217"/>
        <v>0</v>
      </c>
      <c r="CT103" s="19">
        <f t="shared" si="217"/>
        <v>0</v>
      </c>
      <c r="CU103" s="16" t="str">
        <f t="shared" si="220"/>
        <v>нд</v>
      </c>
      <c r="CV103" s="16" t="s">
        <v>103</v>
      </c>
    </row>
    <row r="104" spans="1:100" s="8" customFormat="1" ht="47.25" x14ac:dyDescent="0.25">
      <c r="A104" s="17" t="s">
        <v>89</v>
      </c>
      <c r="B104" s="18" t="s">
        <v>90</v>
      </c>
      <c r="C104" s="16" t="s">
        <v>103</v>
      </c>
      <c r="D104" s="16" t="s">
        <v>103</v>
      </c>
      <c r="E104" s="16" t="s">
        <v>103</v>
      </c>
      <c r="F104" s="16" t="s">
        <v>103</v>
      </c>
      <c r="G104" s="16" t="s">
        <v>103</v>
      </c>
      <c r="H104" s="19">
        <v>0</v>
      </c>
      <c r="I104" s="19">
        <v>0</v>
      </c>
      <c r="J104" s="16" t="s">
        <v>103</v>
      </c>
      <c r="K104" s="19">
        <f t="shared" si="213"/>
        <v>0</v>
      </c>
      <c r="L104" s="19">
        <f t="shared" si="215"/>
        <v>0</v>
      </c>
      <c r="M104" s="19" t="str">
        <f t="shared" si="214"/>
        <v>нд</v>
      </c>
      <c r="N104" s="16" t="s">
        <v>103</v>
      </c>
      <c r="O104" s="16" t="s">
        <v>103</v>
      </c>
      <c r="P104" s="19" t="s">
        <v>103</v>
      </c>
      <c r="Q104" s="19" t="s">
        <v>103</v>
      </c>
      <c r="R104" s="19" t="s">
        <v>103</v>
      </c>
      <c r="S104" s="19" t="s">
        <v>103</v>
      </c>
      <c r="T104" s="19">
        <v>0</v>
      </c>
      <c r="U104" s="19">
        <v>0</v>
      </c>
      <c r="V104" s="26">
        <f t="shared" si="200"/>
        <v>0</v>
      </c>
      <c r="W104" s="19" t="s">
        <v>103</v>
      </c>
      <c r="X104" s="19" t="s">
        <v>103</v>
      </c>
      <c r="Y104" s="19" t="s">
        <v>103</v>
      </c>
      <c r="Z104" s="19" t="s">
        <v>103</v>
      </c>
      <c r="AA104" s="19" t="s">
        <v>103</v>
      </c>
      <c r="AB104" s="19" t="s">
        <v>103</v>
      </c>
      <c r="AC104" s="19" t="s">
        <v>103</v>
      </c>
      <c r="AD104" s="19" t="s">
        <v>103</v>
      </c>
      <c r="AE104" s="19" t="s">
        <v>103</v>
      </c>
      <c r="AF104" s="19" t="s">
        <v>103</v>
      </c>
      <c r="AG104" s="19" t="s">
        <v>103</v>
      </c>
      <c r="AH104" s="19" t="s">
        <v>103</v>
      </c>
      <c r="AI104" s="19" t="s">
        <v>103</v>
      </c>
      <c r="AJ104" s="19" t="s">
        <v>103</v>
      </c>
      <c r="AK104" s="19" t="s">
        <v>103</v>
      </c>
      <c r="AL104" s="19" t="s">
        <v>103</v>
      </c>
      <c r="AM104" s="19" t="s">
        <v>103</v>
      </c>
      <c r="AN104" s="19" t="s">
        <v>103</v>
      </c>
      <c r="AO104" s="19" t="s">
        <v>103</v>
      </c>
      <c r="AP104" s="19" t="s">
        <v>103</v>
      </c>
      <c r="AQ104" s="19" t="s">
        <v>103</v>
      </c>
      <c r="AR104" s="21">
        <v>0</v>
      </c>
      <c r="AS104" s="21">
        <v>0</v>
      </c>
      <c r="AT104" s="21">
        <v>0</v>
      </c>
      <c r="AU104" s="21">
        <v>0</v>
      </c>
      <c r="AV104" s="21">
        <v>0</v>
      </c>
      <c r="AW104" s="21">
        <v>0</v>
      </c>
      <c r="AX104" s="23" t="s">
        <v>103</v>
      </c>
      <c r="AY104" s="23" t="s">
        <v>103</v>
      </c>
      <c r="AZ104" s="23" t="s">
        <v>103</v>
      </c>
      <c r="BA104" s="23" t="s">
        <v>103</v>
      </c>
      <c r="BB104" s="23" t="s">
        <v>103</v>
      </c>
      <c r="BC104" s="23" t="s">
        <v>103</v>
      </c>
      <c r="BD104" s="23" t="s">
        <v>103</v>
      </c>
      <c r="BE104" s="23" t="s">
        <v>103</v>
      </c>
      <c r="BF104" s="23" t="s">
        <v>103</v>
      </c>
      <c r="BG104" s="23" t="s">
        <v>103</v>
      </c>
      <c r="BH104" s="23" t="s">
        <v>103</v>
      </c>
      <c r="BI104" s="23" t="s">
        <v>103</v>
      </c>
      <c r="BJ104" s="23" t="s">
        <v>103</v>
      </c>
      <c r="BK104" s="23" t="s">
        <v>103</v>
      </c>
      <c r="BL104" s="23" t="s">
        <v>103</v>
      </c>
      <c r="BM104" s="23" t="s">
        <v>103</v>
      </c>
      <c r="BN104" s="23" t="s">
        <v>103</v>
      </c>
      <c r="BO104" s="23" t="s">
        <v>103</v>
      </c>
      <c r="BP104" s="23" t="s">
        <v>103</v>
      </c>
      <c r="BQ104" s="23" t="s">
        <v>103</v>
      </c>
      <c r="BR104" s="23" t="s">
        <v>103</v>
      </c>
      <c r="BS104" s="23" t="s">
        <v>103</v>
      </c>
      <c r="BT104" s="23" t="s">
        <v>103</v>
      </c>
      <c r="BU104" s="23" t="s">
        <v>103</v>
      </c>
      <c r="BV104" s="23" t="s">
        <v>103</v>
      </c>
      <c r="BW104" s="23" t="s">
        <v>103</v>
      </c>
      <c r="BX104" s="23" t="s">
        <v>103</v>
      </c>
      <c r="BY104" s="23" t="s">
        <v>103</v>
      </c>
      <c r="BZ104" s="23" t="s">
        <v>103</v>
      </c>
      <c r="CA104" s="23" t="s">
        <v>103</v>
      </c>
      <c r="CB104" s="23" t="s">
        <v>103</v>
      </c>
      <c r="CC104" s="23" t="s">
        <v>103</v>
      </c>
      <c r="CD104" s="23" t="s">
        <v>103</v>
      </c>
      <c r="CE104" s="23" t="s">
        <v>103</v>
      </c>
      <c r="CF104" s="23" t="s">
        <v>103</v>
      </c>
      <c r="CG104" s="23" t="s">
        <v>103</v>
      </c>
      <c r="CH104" s="23" t="s">
        <v>103</v>
      </c>
      <c r="CI104" s="23" t="s">
        <v>103</v>
      </c>
      <c r="CJ104" s="23" t="s">
        <v>103</v>
      </c>
      <c r="CK104" s="23" t="s">
        <v>103</v>
      </c>
      <c r="CL104" s="21">
        <v>0</v>
      </c>
      <c r="CM104" s="19">
        <v>0</v>
      </c>
      <c r="CN104" s="19">
        <v>0</v>
      </c>
      <c r="CO104" s="21">
        <f t="shared" si="216"/>
        <v>0</v>
      </c>
      <c r="CP104" s="23" t="s">
        <v>103</v>
      </c>
      <c r="CQ104" s="16">
        <f t="shared" si="218"/>
        <v>0</v>
      </c>
      <c r="CR104" s="19">
        <f t="shared" si="219"/>
        <v>0</v>
      </c>
      <c r="CS104" s="19">
        <f t="shared" si="217"/>
        <v>0</v>
      </c>
      <c r="CT104" s="19">
        <f t="shared" si="217"/>
        <v>0</v>
      </c>
      <c r="CU104" s="16" t="str">
        <f t="shared" si="220"/>
        <v>нд</v>
      </c>
      <c r="CV104" s="16" t="s">
        <v>103</v>
      </c>
    </row>
    <row r="105" spans="1:100" s="8" customFormat="1" ht="63" x14ac:dyDescent="0.25">
      <c r="A105" s="17" t="s">
        <v>91</v>
      </c>
      <c r="B105" s="18" t="s">
        <v>92</v>
      </c>
      <c r="C105" s="16" t="s">
        <v>103</v>
      </c>
      <c r="D105" s="16" t="s">
        <v>103</v>
      </c>
      <c r="E105" s="16" t="s">
        <v>103</v>
      </c>
      <c r="F105" s="16" t="s">
        <v>103</v>
      </c>
      <c r="G105" s="16" t="s">
        <v>103</v>
      </c>
      <c r="H105" s="19">
        <v>0</v>
      </c>
      <c r="I105" s="19">
        <v>0</v>
      </c>
      <c r="J105" s="16" t="s">
        <v>103</v>
      </c>
      <c r="K105" s="19">
        <f t="shared" si="213"/>
        <v>0</v>
      </c>
      <c r="L105" s="19">
        <f t="shared" si="215"/>
        <v>0</v>
      </c>
      <c r="M105" s="19" t="str">
        <f t="shared" si="214"/>
        <v>нд</v>
      </c>
      <c r="N105" s="16" t="s">
        <v>103</v>
      </c>
      <c r="O105" s="16" t="s">
        <v>103</v>
      </c>
      <c r="P105" s="19" t="s">
        <v>103</v>
      </c>
      <c r="Q105" s="19" t="s">
        <v>103</v>
      </c>
      <c r="R105" s="19" t="s">
        <v>103</v>
      </c>
      <c r="S105" s="19" t="s">
        <v>103</v>
      </c>
      <c r="T105" s="19">
        <v>0</v>
      </c>
      <c r="U105" s="19">
        <v>0</v>
      </c>
      <c r="V105" s="26">
        <f t="shared" si="200"/>
        <v>0</v>
      </c>
      <c r="W105" s="19" t="s">
        <v>103</v>
      </c>
      <c r="X105" s="19" t="s">
        <v>103</v>
      </c>
      <c r="Y105" s="19" t="s">
        <v>103</v>
      </c>
      <c r="Z105" s="19" t="s">
        <v>103</v>
      </c>
      <c r="AA105" s="19" t="s">
        <v>103</v>
      </c>
      <c r="AB105" s="19" t="s">
        <v>103</v>
      </c>
      <c r="AC105" s="19" t="s">
        <v>103</v>
      </c>
      <c r="AD105" s="19" t="s">
        <v>103</v>
      </c>
      <c r="AE105" s="19" t="s">
        <v>103</v>
      </c>
      <c r="AF105" s="19" t="s">
        <v>103</v>
      </c>
      <c r="AG105" s="19" t="s">
        <v>103</v>
      </c>
      <c r="AH105" s="19" t="s">
        <v>103</v>
      </c>
      <c r="AI105" s="19" t="s">
        <v>103</v>
      </c>
      <c r="AJ105" s="19" t="s">
        <v>103</v>
      </c>
      <c r="AK105" s="19" t="s">
        <v>103</v>
      </c>
      <c r="AL105" s="19" t="s">
        <v>103</v>
      </c>
      <c r="AM105" s="19" t="s">
        <v>103</v>
      </c>
      <c r="AN105" s="19" t="s">
        <v>103</v>
      </c>
      <c r="AO105" s="19" t="s">
        <v>103</v>
      </c>
      <c r="AP105" s="19" t="s">
        <v>103</v>
      </c>
      <c r="AQ105" s="19" t="s">
        <v>103</v>
      </c>
      <c r="AR105" s="21">
        <v>0</v>
      </c>
      <c r="AS105" s="21">
        <v>0</v>
      </c>
      <c r="AT105" s="21">
        <v>0</v>
      </c>
      <c r="AU105" s="21">
        <v>0</v>
      </c>
      <c r="AV105" s="21">
        <v>0</v>
      </c>
      <c r="AW105" s="21">
        <v>0</v>
      </c>
      <c r="AX105" s="23" t="s">
        <v>103</v>
      </c>
      <c r="AY105" s="23" t="s">
        <v>103</v>
      </c>
      <c r="AZ105" s="23" t="s">
        <v>103</v>
      </c>
      <c r="BA105" s="23" t="s">
        <v>103</v>
      </c>
      <c r="BB105" s="23" t="s">
        <v>103</v>
      </c>
      <c r="BC105" s="23" t="s">
        <v>103</v>
      </c>
      <c r="BD105" s="23" t="s">
        <v>103</v>
      </c>
      <c r="BE105" s="23" t="s">
        <v>103</v>
      </c>
      <c r="BF105" s="23" t="s">
        <v>103</v>
      </c>
      <c r="BG105" s="23" t="s">
        <v>103</v>
      </c>
      <c r="BH105" s="23" t="s">
        <v>103</v>
      </c>
      <c r="BI105" s="23" t="s">
        <v>103</v>
      </c>
      <c r="BJ105" s="23" t="s">
        <v>103</v>
      </c>
      <c r="BK105" s="23" t="s">
        <v>103</v>
      </c>
      <c r="BL105" s="23" t="s">
        <v>103</v>
      </c>
      <c r="BM105" s="23" t="s">
        <v>103</v>
      </c>
      <c r="BN105" s="23" t="s">
        <v>103</v>
      </c>
      <c r="BO105" s="23" t="s">
        <v>103</v>
      </c>
      <c r="BP105" s="23" t="s">
        <v>103</v>
      </c>
      <c r="BQ105" s="23" t="s">
        <v>103</v>
      </c>
      <c r="BR105" s="23" t="s">
        <v>103</v>
      </c>
      <c r="BS105" s="23" t="s">
        <v>103</v>
      </c>
      <c r="BT105" s="23" t="s">
        <v>103</v>
      </c>
      <c r="BU105" s="23" t="s">
        <v>103</v>
      </c>
      <c r="BV105" s="23" t="s">
        <v>103</v>
      </c>
      <c r="BW105" s="23" t="s">
        <v>103</v>
      </c>
      <c r="BX105" s="23" t="s">
        <v>103</v>
      </c>
      <c r="BY105" s="23" t="s">
        <v>103</v>
      </c>
      <c r="BZ105" s="23" t="s">
        <v>103</v>
      </c>
      <c r="CA105" s="23" t="s">
        <v>103</v>
      </c>
      <c r="CB105" s="23" t="s">
        <v>103</v>
      </c>
      <c r="CC105" s="23" t="s">
        <v>103</v>
      </c>
      <c r="CD105" s="23" t="s">
        <v>103</v>
      </c>
      <c r="CE105" s="23" t="s">
        <v>103</v>
      </c>
      <c r="CF105" s="23" t="s">
        <v>103</v>
      </c>
      <c r="CG105" s="23" t="s">
        <v>103</v>
      </c>
      <c r="CH105" s="23" t="s">
        <v>103</v>
      </c>
      <c r="CI105" s="23" t="s">
        <v>103</v>
      </c>
      <c r="CJ105" s="23" t="s">
        <v>103</v>
      </c>
      <c r="CK105" s="23" t="s">
        <v>103</v>
      </c>
      <c r="CL105" s="21">
        <v>0</v>
      </c>
      <c r="CM105" s="19">
        <v>0</v>
      </c>
      <c r="CN105" s="19">
        <v>0</v>
      </c>
      <c r="CO105" s="21">
        <f t="shared" si="216"/>
        <v>0</v>
      </c>
      <c r="CP105" s="23" t="s">
        <v>103</v>
      </c>
      <c r="CQ105" s="16">
        <f t="shared" si="218"/>
        <v>0</v>
      </c>
      <c r="CR105" s="19">
        <f t="shared" si="219"/>
        <v>0</v>
      </c>
      <c r="CS105" s="19">
        <f t="shared" si="217"/>
        <v>0</v>
      </c>
      <c r="CT105" s="19">
        <f t="shared" si="217"/>
        <v>0</v>
      </c>
      <c r="CU105" s="16" t="str">
        <f t="shared" si="220"/>
        <v>нд</v>
      </c>
      <c r="CV105" s="16" t="s">
        <v>103</v>
      </c>
    </row>
    <row r="106" spans="1:100" s="8" customFormat="1" ht="63" x14ac:dyDescent="0.25">
      <c r="A106" s="17" t="s">
        <v>93</v>
      </c>
      <c r="B106" s="18" t="s">
        <v>94</v>
      </c>
      <c r="C106" s="16" t="s">
        <v>103</v>
      </c>
      <c r="D106" s="16" t="s">
        <v>103</v>
      </c>
      <c r="E106" s="16" t="s">
        <v>103</v>
      </c>
      <c r="F106" s="16" t="s">
        <v>103</v>
      </c>
      <c r="G106" s="16" t="s">
        <v>103</v>
      </c>
      <c r="H106" s="19">
        <v>0</v>
      </c>
      <c r="I106" s="19">
        <v>0</v>
      </c>
      <c r="J106" s="16" t="s">
        <v>103</v>
      </c>
      <c r="K106" s="19">
        <f t="shared" si="213"/>
        <v>0</v>
      </c>
      <c r="L106" s="19">
        <f t="shared" si="215"/>
        <v>0</v>
      </c>
      <c r="M106" s="19" t="str">
        <f t="shared" si="214"/>
        <v>нд</v>
      </c>
      <c r="N106" s="16" t="s">
        <v>103</v>
      </c>
      <c r="O106" s="16" t="s">
        <v>103</v>
      </c>
      <c r="P106" s="19" t="s">
        <v>103</v>
      </c>
      <c r="Q106" s="19" t="s">
        <v>103</v>
      </c>
      <c r="R106" s="19" t="s">
        <v>103</v>
      </c>
      <c r="S106" s="19" t="s">
        <v>103</v>
      </c>
      <c r="T106" s="19">
        <v>0</v>
      </c>
      <c r="U106" s="19">
        <v>0</v>
      </c>
      <c r="V106" s="26">
        <f t="shared" si="200"/>
        <v>0</v>
      </c>
      <c r="W106" s="19" t="s">
        <v>103</v>
      </c>
      <c r="X106" s="19" t="s">
        <v>103</v>
      </c>
      <c r="Y106" s="19" t="s">
        <v>103</v>
      </c>
      <c r="Z106" s="19" t="s">
        <v>103</v>
      </c>
      <c r="AA106" s="19" t="s">
        <v>103</v>
      </c>
      <c r="AB106" s="19" t="s">
        <v>103</v>
      </c>
      <c r="AC106" s="19" t="s">
        <v>103</v>
      </c>
      <c r="AD106" s="19" t="s">
        <v>103</v>
      </c>
      <c r="AE106" s="19" t="s">
        <v>103</v>
      </c>
      <c r="AF106" s="19" t="s">
        <v>103</v>
      </c>
      <c r="AG106" s="19" t="s">
        <v>103</v>
      </c>
      <c r="AH106" s="19" t="s">
        <v>103</v>
      </c>
      <c r="AI106" s="19" t="s">
        <v>103</v>
      </c>
      <c r="AJ106" s="19" t="s">
        <v>103</v>
      </c>
      <c r="AK106" s="19" t="s">
        <v>103</v>
      </c>
      <c r="AL106" s="19" t="s">
        <v>103</v>
      </c>
      <c r="AM106" s="19" t="s">
        <v>103</v>
      </c>
      <c r="AN106" s="19" t="s">
        <v>103</v>
      </c>
      <c r="AO106" s="19" t="s">
        <v>103</v>
      </c>
      <c r="AP106" s="19" t="s">
        <v>103</v>
      </c>
      <c r="AQ106" s="19" t="s">
        <v>103</v>
      </c>
      <c r="AR106" s="21">
        <v>0</v>
      </c>
      <c r="AS106" s="21">
        <v>0</v>
      </c>
      <c r="AT106" s="21">
        <v>0</v>
      </c>
      <c r="AU106" s="21">
        <v>0</v>
      </c>
      <c r="AV106" s="21">
        <v>0</v>
      </c>
      <c r="AW106" s="21">
        <v>0</v>
      </c>
      <c r="AX106" s="23" t="s">
        <v>103</v>
      </c>
      <c r="AY106" s="23" t="s">
        <v>103</v>
      </c>
      <c r="AZ106" s="23" t="s">
        <v>103</v>
      </c>
      <c r="BA106" s="23" t="s">
        <v>103</v>
      </c>
      <c r="BB106" s="23" t="s">
        <v>103</v>
      </c>
      <c r="BC106" s="23" t="s">
        <v>103</v>
      </c>
      <c r="BD106" s="23" t="s">
        <v>103</v>
      </c>
      <c r="BE106" s="23" t="s">
        <v>103</v>
      </c>
      <c r="BF106" s="23" t="s">
        <v>103</v>
      </c>
      <c r="BG106" s="23" t="s">
        <v>103</v>
      </c>
      <c r="BH106" s="23" t="s">
        <v>103</v>
      </c>
      <c r="BI106" s="23" t="s">
        <v>103</v>
      </c>
      <c r="BJ106" s="23" t="s">
        <v>103</v>
      </c>
      <c r="BK106" s="23" t="s">
        <v>103</v>
      </c>
      <c r="BL106" s="23" t="s">
        <v>103</v>
      </c>
      <c r="BM106" s="23" t="s">
        <v>103</v>
      </c>
      <c r="BN106" s="23" t="s">
        <v>103</v>
      </c>
      <c r="BO106" s="23" t="s">
        <v>103</v>
      </c>
      <c r="BP106" s="23" t="s">
        <v>103</v>
      </c>
      <c r="BQ106" s="23" t="s">
        <v>103</v>
      </c>
      <c r="BR106" s="23" t="s">
        <v>103</v>
      </c>
      <c r="BS106" s="23" t="s">
        <v>103</v>
      </c>
      <c r="BT106" s="23" t="s">
        <v>103</v>
      </c>
      <c r="BU106" s="23" t="s">
        <v>103</v>
      </c>
      <c r="BV106" s="23" t="s">
        <v>103</v>
      </c>
      <c r="BW106" s="23" t="s">
        <v>103</v>
      </c>
      <c r="BX106" s="23" t="s">
        <v>103</v>
      </c>
      <c r="BY106" s="23" t="s">
        <v>103</v>
      </c>
      <c r="BZ106" s="23" t="s">
        <v>103</v>
      </c>
      <c r="CA106" s="23" t="s">
        <v>103</v>
      </c>
      <c r="CB106" s="23" t="s">
        <v>103</v>
      </c>
      <c r="CC106" s="23" t="s">
        <v>103</v>
      </c>
      <c r="CD106" s="23" t="s">
        <v>103</v>
      </c>
      <c r="CE106" s="23" t="s">
        <v>103</v>
      </c>
      <c r="CF106" s="23" t="s">
        <v>103</v>
      </c>
      <c r="CG106" s="23" t="s">
        <v>103</v>
      </c>
      <c r="CH106" s="23" t="s">
        <v>103</v>
      </c>
      <c r="CI106" s="23" t="s">
        <v>103</v>
      </c>
      <c r="CJ106" s="23" t="s">
        <v>103</v>
      </c>
      <c r="CK106" s="23" t="s">
        <v>103</v>
      </c>
      <c r="CL106" s="21">
        <v>0</v>
      </c>
      <c r="CM106" s="19">
        <v>0</v>
      </c>
      <c r="CN106" s="19">
        <v>0</v>
      </c>
      <c r="CO106" s="21">
        <f t="shared" si="216"/>
        <v>0</v>
      </c>
      <c r="CP106" s="23" t="s">
        <v>103</v>
      </c>
      <c r="CQ106" s="16">
        <f t="shared" si="218"/>
        <v>0</v>
      </c>
      <c r="CR106" s="19">
        <f t="shared" si="219"/>
        <v>0</v>
      </c>
      <c r="CS106" s="19">
        <f t="shared" si="217"/>
        <v>0</v>
      </c>
      <c r="CT106" s="19">
        <f t="shared" si="217"/>
        <v>0</v>
      </c>
      <c r="CU106" s="16" t="str">
        <f t="shared" si="220"/>
        <v>нд</v>
      </c>
      <c r="CV106" s="16" t="s">
        <v>103</v>
      </c>
    </row>
    <row r="107" spans="1:100" s="8" customFormat="1" ht="63" x14ac:dyDescent="0.25">
      <c r="A107" s="17" t="s">
        <v>95</v>
      </c>
      <c r="B107" s="18" t="s">
        <v>96</v>
      </c>
      <c r="C107" s="16" t="s">
        <v>103</v>
      </c>
      <c r="D107" s="16" t="s">
        <v>103</v>
      </c>
      <c r="E107" s="16" t="s">
        <v>103</v>
      </c>
      <c r="F107" s="16" t="s">
        <v>103</v>
      </c>
      <c r="G107" s="16" t="s">
        <v>103</v>
      </c>
      <c r="H107" s="19">
        <v>0</v>
      </c>
      <c r="I107" s="19">
        <v>0</v>
      </c>
      <c r="J107" s="16" t="s">
        <v>103</v>
      </c>
      <c r="K107" s="19">
        <f t="shared" si="213"/>
        <v>0</v>
      </c>
      <c r="L107" s="19">
        <f t="shared" si="215"/>
        <v>0</v>
      </c>
      <c r="M107" s="19" t="str">
        <f t="shared" si="214"/>
        <v>нд</v>
      </c>
      <c r="N107" s="16" t="s">
        <v>103</v>
      </c>
      <c r="O107" s="16" t="s">
        <v>103</v>
      </c>
      <c r="P107" s="19" t="s">
        <v>103</v>
      </c>
      <c r="Q107" s="19" t="s">
        <v>103</v>
      </c>
      <c r="R107" s="19" t="s">
        <v>103</v>
      </c>
      <c r="S107" s="19" t="s">
        <v>103</v>
      </c>
      <c r="T107" s="19">
        <v>0</v>
      </c>
      <c r="U107" s="19">
        <v>0</v>
      </c>
      <c r="V107" s="26">
        <f t="shared" si="200"/>
        <v>0</v>
      </c>
      <c r="W107" s="19" t="s">
        <v>103</v>
      </c>
      <c r="X107" s="19" t="s">
        <v>103</v>
      </c>
      <c r="Y107" s="19" t="s">
        <v>103</v>
      </c>
      <c r="Z107" s="19" t="s">
        <v>103</v>
      </c>
      <c r="AA107" s="19" t="s">
        <v>103</v>
      </c>
      <c r="AB107" s="19" t="s">
        <v>103</v>
      </c>
      <c r="AC107" s="19" t="s">
        <v>103</v>
      </c>
      <c r="AD107" s="19" t="s">
        <v>103</v>
      </c>
      <c r="AE107" s="19" t="s">
        <v>103</v>
      </c>
      <c r="AF107" s="19" t="s">
        <v>103</v>
      </c>
      <c r="AG107" s="19" t="s">
        <v>103</v>
      </c>
      <c r="AH107" s="19" t="s">
        <v>103</v>
      </c>
      <c r="AI107" s="19" t="s">
        <v>103</v>
      </c>
      <c r="AJ107" s="19" t="s">
        <v>103</v>
      </c>
      <c r="AK107" s="19" t="s">
        <v>103</v>
      </c>
      <c r="AL107" s="19" t="s">
        <v>103</v>
      </c>
      <c r="AM107" s="19" t="s">
        <v>103</v>
      </c>
      <c r="AN107" s="19" t="s">
        <v>103</v>
      </c>
      <c r="AO107" s="19" t="s">
        <v>103</v>
      </c>
      <c r="AP107" s="19" t="s">
        <v>103</v>
      </c>
      <c r="AQ107" s="19" t="s">
        <v>103</v>
      </c>
      <c r="AR107" s="21">
        <v>0</v>
      </c>
      <c r="AS107" s="21">
        <v>0</v>
      </c>
      <c r="AT107" s="21">
        <v>0</v>
      </c>
      <c r="AU107" s="21">
        <v>0</v>
      </c>
      <c r="AV107" s="21">
        <v>0</v>
      </c>
      <c r="AW107" s="21">
        <v>0</v>
      </c>
      <c r="AX107" s="23" t="s">
        <v>103</v>
      </c>
      <c r="AY107" s="23" t="s">
        <v>103</v>
      </c>
      <c r="AZ107" s="23" t="s">
        <v>103</v>
      </c>
      <c r="BA107" s="23" t="s">
        <v>103</v>
      </c>
      <c r="BB107" s="23" t="s">
        <v>103</v>
      </c>
      <c r="BC107" s="23" t="s">
        <v>103</v>
      </c>
      <c r="BD107" s="23" t="s">
        <v>103</v>
      </c>
      <c r="BE107" s="23" t="s">
        <v>103</v>
      </c>
      <c r="BF107" s="23" t="s">
        <v>103</v>
      </c>
      <c r="BG107" s="23" t="s">
        <v>103</v>
      </c>
      <c r="BH107" s="23" t="s">
        <v>103</v>
      </c>
      <c r="BI107" s="23" t="s">
        <v>103</v>
      </c>
      <c r="BJ107" s="23" t="s">
        <v>103</v>
      </c>
      <c r="BK107" s="23" t="s">
        <v>103</v>
      </c>
      <c r="BL107" s="23" t="s">
        <v>103</v>
      </c>
      <c r="BM107" s="23" t="s">
        <v>103</v>
      </c>
      <c r="BN107" s="23" t="s">
        <v>103</v>
      </c>
      <c r="BO107" s="23" t="s">
        <v>103</v>
      </c>
      <c r="BP107" s="23" t="s">
        <v>103</v>
      </c>
      <c r="BQ107" s="23" t="s">
        <v>103</v>
      </c>
      <c r="BR107" s="23" t="s">
        <v>103</v>
      </c>
      <c r="BS107" s="23" t="s">
        <v>103</v>
      </c>
      <c r="BT107" s="23" t="s">
        <v>103</v>
      </c>
      <c r="BU107" s="23" t="s">
        <v>103</v>
      </c>
      <c r="BV107" s="23" t="s">
        <v>103</v>
      </c>
      <c r="BW107" s="23" t="s">
        <v>103</v>
      </c>
      <c r="BX107" s="23" t="s">
        <v>103</v>
      </c>
      <c r="BY107" s="23" t="s">
        <v>103</v>
      </c>
      <c r="BZ107" s="23" t="s">
        <v>103</v>
      </c>
      <c r="CA107" s="23" t="s">
        <v>103</v>
      </c>
      <c r="CB107" s="23" t="s">
        <v>103</v>
      </c>
      <c r="CC107" s="23" t="s">
        <v>103</v>
      </c>
      <c r="CD107" s="23" t="s">
        <v>103</v>
      </c>
      <c r="CE107" s="23" t="s">
        <v>103</v>
      </c>
      <c r="CF107" s="23" t="s">
        <v>103</v>
      </c>
      <c r="CG107" s="23" t="s">
        <v>103</v>
      </c>
      <c r="CH107" s="23" t="s">
        <v>103</v>
      </c>
      <c r="CI107" s="23" t="s">
        <v>103</v>
      </c>
      <c r="CJ107" s="23" t="s">
        <v>103</v>
      </c>
      <c r="CK107" s="23" t="s">
        <v>103</v>
      </c>
      <c r="CL107" s="21">
        <v>0</v>
      </c>
      <c r="CM107" s="19">
        <v>0</v>
      </c>
      <c r="CN107" s="19">
        <v>0</v>
      </c>
      <c r="CO107" s="21">
        <f t="shared" si="216"/>
        <v>0</v>
      </c>
      <c r="CP107" s="23" t="s">
        <v>103</v>
      </c>
      <c r="CQ107" s="16">
        <f t="shared" si="218"/>
        <v>0</v>
      </c>
      <c r="CR107" s="19">
        <f t="shared" si="219"/>
        <v>0</v>
      </c>
      <c r="CS107" s="19">
        <f t="shared" si="217"/>
        <v>0</v>
      </c>
      <c r="CT107" s="19">
        <f t="shared" si="217"/>
        <v>0</v>
      </c>
      <c r="CU107" s="16" t="str">
        <f t="shared" si="220"/>
        <v>нд</v>
      </c>
      <c r="CV107" s="16" t="s">
        <v>103</v>
      </c>
    </row>
    <row r="108" spans="1:100" s="8" customFormat="1" ht="47.25" x14ac:dyDescent="0.25">
      <c r="A108" s="17" t="s">
        <v>97</v>
      </c>
      <c r="B108" s="18" t="s">
        <v>98</v>
      </c>
      <c r="C108" s="16" t="s">
        <v>103</v>
      </c>
      <c r="D108" s="16" t="s">
        <v>103</v>
      </c>
      <c r="E108" s="16" t="s">
        <v>103</v>
      </c>
      <c r="F108" s="16" t="s">
        <v>103</v>
      </c>
      <c r="G108" s="16" t="s">
        <v>103</v>
      </c>
      <c r="H108" s="19">
        <v>0</v>
      </c>
      <c r="I108" s="19">
        <v>0</v>
      </c>
      <c r="J108" s="16" t="s">
        <v>103</v>
      </c>
      <c r="K108" s="19">
        <f t="shared" si="213"/>
        <v>0</v>
      </c>
      <c r="L108" s="19">
        <f t="shared" si="215"/>
        <v>0</v>
      </c>
      <c r="M108" s="19" t="str">
        <f t="shared" si="214"/>
        <v>нд</v>
      </c>
      <c r="N108" s="16" t="s">
        <v>103</v>
      </c>
      <c r="O108" s="16" t="s">
        <v>103</v>
      </c>
      <c r="P108" s="19" t="s">
        <v>103</v>
      </c>
      <c r="Q108" s="19" t="s">
        <v>103</v>
      </c>
      <c r="R108" s="19" t="s">
        <v>103</v>
      </c>
      <c r="S108" s="19" t="s">
        <v>103</v>
      </c>
      <c r="T108" s="19">
        <v>0</v>
      </c>
      <c r="U108" s="19">
        <v>0</v>
      </c>
      <c r="V108" s="26">
        <f t="shared" si="200"/>
        <v>0</v>
      </c>
      <c r="W108" s="19" t="s">
        <v>103</v>
      </c>
      <c r="X108" s="19" t="s">
        <v>103</v>
      </c>
      <c r="Y108" s="19" t="s">
        <v>103</v>
      </c>
      <c r="Z108" s="19" t="s">
        <v>103</v>
      </c>
      <c r="AA108" s="19" t="s">
        <v>103</v>
      </c>
      <c r="AB108" s="19" t="s">
        <v>103</v>
      </c>
      <c r="AC108" s="19" t="s">
        <v>103</v>
      </c>
      <c r="AD108" s="19" t="s">
        <v>103</v>
      </c>
      <c r="AE108" s="19" t="s">
        <v>103</v>
      </c>
      <c r="AF108" s="19" t="s">
        <v>103</v>
      </c>
      <c r="AG108" s="19" t="s">
        <v>103</v>
      </c>
      <c r="AH108" s="19" t="s">
        <v>103</v>
      </c>
      <c r="AI108" s="19" t="s">
        <v>103</v>
      </c>
      <c r="AJ108" s="19" t="s">
        <v>103</v>
      </c>
      <c r="AK108" s="19" t="s">
        <v>103</v>
      </c>
      <c r="AL108" s="19" t="s">
        <v>103</v>
      </c>
      <c r="AM108" s="19" t="s">
        <v>103</v>
      </c>
      <c r="AN108" s="19" t="s">
        <v>103</v>
      </c>
      <c r="AO108" s="19" t="s">
        <v>103</v>
      </c>
      <c r="AP108" s="19" t="s">
        <v>103</v>
      </c>
      <c r="AQ108" s="19" t="s">
        <v>103</v>
      </c>
      <c r="AR108" s="21">
        <v>0</v>
      </c>
      <c r="AS108" s="21">
        <v>0</v>
      </c>
      <c r="AT108" s="21">
        <v>0</v>
      </c>
      <c r="AU108" s="21">
        <v>0</v>
      </c>
      <c r="AV108" s="21">
        <v>0</v>
      </c>
      <c r="AW108" s="21">
        <v>0</v>
      </c>
      <c r="AX108" s="23" t="s">
        <v>103</v>
      </c>
      <c r="AY108" s="23" t="s">
        <v>103</v>
      </c>
      <c r="AZ108" s="23" t="s">
        <v>103</v>
      </c>
      <c r="BA108" s="23" t="s">
        <v>103</v>
      </c>
      <c r="BB108" s="23" t="s">
        <v>103</v>
      </c>
      <c r="BC108" s="23" t="s">
        <v>103</v>
      </c>
      <c r="BD108" s="23" t="s">
        <v>103</v>
      </c>
      <c r="BE108" s="23" t="s">
        <v>103</v>
      </c>
      <c r="BF108" s="23" t="s">
        <v>103</v>
      </c>
      <c r="BG108" s="23" t="s">
        <v>103</v>
      </c>
      <c r="BH108" s="23" t="s">
        <v>103</v>
      </c>
      <c r="BI108" s="23" t="s">
        <v>103</v>
      </c>
      <c r="BJ108" s="23" t="s">
        <v>103</v>
      </c>
      <c r="BK108" s="23" t="s">
        <v>103</v>
      </c>
      <c r="BL108" s="23" t="s">
        <v>103</v>
      </c>
      <c r="BM108" s="23" t="s">
        <v>103</v>
      </c>
      <c r="BN108" s="23" t="s">
        <v>103</v>
      </c>
      <c r="BO108" s="23" t="s">
        <v>103</v>
      </c>
      <c r="BP108" s="23" t="s">
        <v>103</v>
      </c>
      <c r="BQ108" s="23" t="s">
        <v>103</v>
      </c>
      <c r="BR108" s="23" t="s">
        <v>103</v>
      </c>
      <c r="BS108" s="23" t="s">
        <v>103</v>
      </c>
      <c r="BT108" s="23" t="s">
        <v>103</v>
      </c>
      <c r="BU108" s="23" t="s">
        <v>103</v>
      </c>
      <c r="BV108" s="23" t="s">
        <v>103</v>
      </c>
      <c r="BW108" s="23" t="s">
        <v>103</v>
      </c>
      <c r="BX108" s="23" t="s">
        <v>103</v>
      </c>
      <c r="BY108" s="23" t="s">
        <v>103</v>
      </c>
      <c r="BZ108" s="23" t="s">
        <v>103</v>
      </c>
      <c r="CA108" s="23" t="s">
        <v>103</v>
      </c>
      <c r="CB108" s="23" t="s">
        <v>103</v>
      </c>
      <c r="CC108" s="23" t="s">
        <v>103</v>
      </c>
      <c r="CD108" s="23" t="s">
        <v>103</v>
      </c>
      <c r="CE108" s="23" t="s">
        <v>103</v>
      </c>
      <c r="CF108" s="23" t="s">
        <v>103</v>
      </c>
      <c r="CG108" s="23" t="s">
        <v>103</v>
      </c>
      <c r="CH108" s="23" t="s">
        <v>103</v>
      </c>
      <c r="CI108" s="23" t="s">
        <v>103</v>
      </c>
      <c r="CJ108" s="23" t="s">
        <v>103</v>
      </c>
      <c r="CK108" s="23" t="s">
        <v>103</v>
      </c>
      <c r="CL108" s="21">
        <v>0</v>
      </c>
      <c r="CM108" s="19">
        <v>0</v>
      </c>
      <c r="CN108" s="19">
        <v>0</v>
      </c>
      <c r="CO108" s="21">
        <f t="shared" si="216"/>
        <v>0</v>
      </c>
      <c r="CP108" s="23" t="s">
        <v>103</v>
      </c>
      <c r="CQ108" s="16">
        <f t="shared" si="218"/>
        <v>0</v>
      </c>
      <c r="CR108" s="19">
        <f t="shared" si="219"/>
        <v>0</v>
      </c>
      <c r="CS108" s="19">
        <f t="shared" si="217"/>
        <v>0</v>
      </c>
      <c r="CT108" s="19">
        <f t="shared" si="217"/>
        <v>0</v>
      </c>
      <c r="CU108" s="16" t="str">
        <f t="shared" si="220"/>
        <v>нд</v>
      </c>
      <c r="CV108" s="16" t="s">
        <v>103</v>
      </c>
    </row>
    <row r="109" spans="1:100" s="8" customFormat="1" ht="47.25" x14ac:dyDescent="0.25">
      <c r="A109" s="17" t="s">
        <v>99</v>
      </c>
      <c r="B109" s="18" t="s">
        <v>100</v>
      </c>
      <c r="C109" s="16" t="s">
        <v>103</v>
      </c>
      <c r="D109" s="16" t="s">
        <v>103</v>
      </c>
      <c r="E109" s="16" t="s">
        <v>103</v>
      </c>
      <c r="F109" s="16" t="s">
        <v>103</v>
      </c>
      <c r="G109" s="16" t="s">
        <v>103</v>
      </c>
      <c r="H109" s="19">
        <v>0</v>
      </c>
      <c r="I109" s="19">
        <v>0</v>
      </c>
      <c r="J109" s="16" t="s">
        <v>103</v>
      </c>
      <c r="K109" s="19">
        <f t="shared" si="213"/>
        <v>0</v>
      </c>
      <c r="L109" s="19">
        <f t="shared" si="215"/>
        <v>0</v>
      </c>
      <c r="M109" s="19" t="str">
        <f t="shared" si="214"/>
        <v>нд</v>
      </c>
      <c r="N109" s="16" t="s">
        <v>103</v>
      </c>
      <c r="O109" s="16" t="s">
        <v>103</v>
      </c>
      <c r="P109" s="19" t="s">
        <v>103</v>
      </c>
      <c r="Q109" s="19" t="s">
        <v>103</v>
      </c>
      <c r="R109" s="19" t="s">
        <v>103</v>
      </c>
      <c r="S109" s="19" t="s">
        <v>103</v>
      </c>
      <c r="T109" s="19">
        <v>0</v>
      </c>
      <c r="U109" s="19">
        <v>0</v>
      </c>
      <c r="V109" s="26">
        <f t="shared" si="200"/>
        <v>0</v>
      </c>
      <c r="W109" s="19" t="s">
        <v>103</v>
      </c>
      <c r="X109" s="19" t="s">
        <v>103</v>
      </c>
      <c r="Y109" s="19" t="s">
        <v>103</v>
      </c>
      <c r="Z109" s="19" t="s">
        <v>103</v>
      </c>
      <c r="AA109" s="19" t="s">
        <v>103</v>
      </c>
      <c r="AB109" s="19" t="s">
        <v>103</v>
      </c>
      <c r="AC109" s="19" t="s">
        <v>103</v>
      </c>
      <c r="AD109" s="19" t="s">
        <v>103</v>
      </c>
      <c r="AE109" s="19" t="s">
        <v>103</v>
      </c>
      <c r="AF109" s="19" t="s">
        <v>103</v>
      </c>
      <c r="AG109" s="19" t="s">
        <v>103</v>
      </c>
      <c r="AH109" s="19" t="s">
        <v>103</v>
      </c>
      <c r="AI109" s="19" t="s">
        <v>103</v>
      </c>
      <c r="AJ109" s="19" t="s">
        <v>103</v>
      </c>
      <c r="AK109" s="19" t="s">
        <v>103</v>
      </c>
      <c r="AL109" s="19" t="s">
        <v>103</v>
      </c>
      <c r="AM109" s="19" t="s">
        <v>103</v>
      </c>
      <c r="AN109" s="19" t="s">
        <v>103</v>
      </c>
      <c r="AO109" s="19" t="s">
        <v>103</v>
      </c>
      <c r="AP109" s="19" t="s">
        <v>103</v>
      </c>
      <c r="AQ109" s="19" t="s">
        <v>103</v>
      </c>
      <c r="AR109" s="21">
        <v>0</v>
      </c>
      <c r="AS109" s="21">
        <v>0</v>
      </c>
      <c r="AT109" s="21">
        <v>0</v>
      </c>
      <c r="AU109" s="21">
        <v>0</v>
      </c>
      <c r="AV109" s="21">
        <v>0</v>
      </c>
      <c r="AW109" s="21">
        <v>0</v>
      </c>
      <c r="AX109" s="23" t="s">
        <v>103</v>
      </c>
      <c r="AY109" s="23" t="s">
        <v>103</v>
      </c>
      <c r="AZ109" s="23" t="s">
        <v>103</v>
      </c>
      <c r="BA109" s="23" t="s">
        <v>103</v>
      </c>
      <c r="BB109" s="23" t="s">
        <v>103</v>
      </c>
      <c r="BC109" s="23" t="s">
        <v>103</v>
      </c>
      <c r="BD109" s="23" t="s">
        <v>103</v>
      </c>
      <c r="BE109" s="23" t="s">
        <v>103</v>
      </c>
      <c r="BF109" s="23" t="s">
        <v>103</v>
      </c>
      <c r="BG109" s="23" t="s">
        <v>103</v>
      </c>
      <c r="BH109" s="23" t="s">
        <v>103</v>
      </c>
      <c r="BI109" s="23" t="s">
        <v>103</v>
      </c>
      <c r="BJ109" s="23" t="s">
        <v>103</v>
      </c>
      <c r="BK109" s="23" t="s">
        <v>103</v>
      </c>
      <c r="BL109" s="23" t="s">
        <v>103</v>
      </c>
      <c r="BM109" s="23" t="s">
        <v>103</v>
      </c>
      <c r="BN109" s="23" t="s">
        <v>103</v>
      </c>
      <c r="BO109" s="23" t="s">
        <v>103</v>
      </c>
      <c r="BP109" s="23" t="s">
        <v>103</v>
      </c>
      <c r="BQ109" s="23" t="s">
        <v>103</v>
      </c>
      <c r="BR109" s="23" t="s">
        <v>103</v>
      </c>
      <c r="BS109" s="23" t="s">
        <v>103</v>
      </c>
      <c r="BT109" s="23" t="s">
        <v>103</v>
      </c>
      <c r="BU109" s="23" t="s">
        <v>103</v>
      </c>
      <c r="BV109" s="23" t="s">
        <v>103</v>
      </c>
      <c r="BW109" s="23" t="s">
        <v>103</v>
      </c>
      <c r="BX109" s="23" t="s">
        <v>103</v>
      </c>
      <c r="BY109" s="23" t="s">
        <v>103</v>
      </c>
      <c r="BZ109" s="23" t="s">
        <v>103</v>
      </c>
      <c r="CA109" s="23" t="s">
        <v>103</v>
      </c>
      <c r="CB109" s="23" t="s">
        <v>103</v>
      </c>
      <c r="CC109" s="23" t="s">
        <v>103</v>
      </c>
      <c r="CD109" s="23" t="s">
        <v>103</v>
      </c>
      <c r="CE109" s="23" t="s">
        <v>103</v>
      </c>
      <c r="CF109" s="23" t="s">
        <v>103</v>
      </c>
      <c r="CG109" s="23" t="s">
        <v>103</v>
      </c>
      <c r="CH109" s="23" t="s">
        <v>103</v>
      </c>
      <c r="CI109" s="23" t="s">
        <v>103</v>
      </c>
      <c r="CJ109" s="23" t="s">
        <v>103</v>
      </c>
      <c r="CK109" s="23" t="s">
        <v>103</v>
      </c>
      <c r="CL109" s="21">
        <v>0</v>
      </c>
      <c r="CM109" s="19">
        <v>0</v>
      </c>
      <c r="CN109" s="19">
        <v>0</v>
      </c>
      <c r="CO109" s="21">
        <f t="shared" si="216"/>
        <v>0</v>
      </c>
      <c r="CP109" s="23" t="s">
        <v>103</v>
      </c>
      <c r="CQ109" s="16">
        <f t="shared" si="218"/>
        <v>0</v>
      </c>
      <c r="CR109" s="19">
        <f t="shared" si="219"/>
        <v>0</v>
      </c>
      <c r="CS109" s="19">
        <f t="shared" si="219"/>
        <v>0</v>
      </c>
      <c r="CT109" s="19">
        <f t="shared" si="219"/>
        <v>0</v>
      </c>
      <c r="CU109" s="16" t="str">
        <f t="shared" si="220"/>
        <v>нд</v>
      </c>
      <c r="CV109" s="16" t="s">
        <v>103</v>
      </c>
    </row>
    <row r="110" spans="1:100" s="8" customFormat="1" ht="31.5" x14ac:dyDescent="0.25">
      <c r="A110" s="17" t="s">
        <v>101</v>
      </c>
      <c r="B110" s="18" t="s">
        <v>102</v>
      </c>
      <c r="C110" s="16" t="s">
        <v>112</v>
      </c>
      <c r="D110" s="16" t="s">
        <v>103</v>
      </c>
      <c r="E110" s="16" t="s">
        <v>103</v>
      </c>
      <c r="F110" s="16" t="s">
        <v>103</v>
      </c>
      <c r="G110" s="16" t="s">
        <v>103</v>
      </c>
      <c r="H110" s="19">
        <f>SUM(H111:H123)</f>
        <v>4.6111840000000001E-2</v>
      </c>
      <c r="I110" s="19">
        <f>SUM(I111:I123)</f>
        <v>11.355730830000001</v>
      </c>
      <c r="J110" s="19">
        <f t="shared" ref="J110:AC110" si="221">SUM(J111:J117)</f>
        <v>0</v>
      </c>
      <c r="K110" s="19">
        <f>SUM(K111:K123)</f>
        <v>4.6111840000000001E-2</v>
      </c>
      <c r="L110" s="19">
        <f t="shared" ref="L110:M110" si="222">SUM(L111:L123)</f>
        <v>17.912438498820148</v>
      </c>
      <c r="M110" s="19">
        <f t="shared" si="222"/>
        <v>0</v>
      </c>
      <c r="N110" s="19">
        <f t="shared" si="221"/>
        <v>0</v>
      </c>
      <c r="O110" s="19">
        <f t="shared" si="221"/>
        <v>0</v>
      </c>
      <c r="P110" s="19">
        <f>SUM(P111:P123)</f>
        <v>0</v>
      </c>
      <c r="Q110" s="19">
        <f t="shared" ref="Q110:S110" si="223">SUM(Q111:Q123)</f>
        <v>0</v>
      </c>
      <c r="R110" s="19">
        <f t="shared" si="223"/>
        <v>0</v>
      </c>
      <c r="S110" s="19">
        <f t="shared" si="223"/>
        <v>0</v>
      </c>
      <c r="T110" s="19">
        <f>SUM(T111:T123)</f>
        <v>13.275545094132001</v>
      </c>
      <c r="U110" s="19">
        <f>SUM(U111:U123)</f>
        <v>20.088912499626481</v>
      </c>
      <c r="V110" s="26">
        <f t="shared" si="200"/>
        <v>13.275545094132001</v>
      </c>
      <c r="W110" s="26">
        <f>T110-Y110-AD110</f>
        <v>7.0069543680000006</v>
      </c>
      <c r="X110" s="19">
        <f t="shared" ref="X110" si="224">SUM(X111:X123)</f>
        <v>14.942820582666481</v>
      </c>
      <c r="Y110" s="19">
        <f t="shared" si="221"/>
        <v>0</v>
      </c>
      <c r="Z110" s="19">
        <f t="shared" si="221"/>
        <v>0</v>
      </c>
      <c r="AA110" s="19">
        <f t="shared" si="221"/>
        <v>0</v>
      </c>
      <c r="AB110" s="19">
        <f t="shared" si="221"/>
        <v>0</v>
      </c>
      <c r="AC110" s="19">
        <f t="shared" si="221"/>
        <v>0</v>
      </c>
      <c r="AD110" s="19">
        <f>SUM(AD111:AD123)</f>
        <v>6.2685907261320004</v>
      </c>
      <c r="AE110" s="19">
        <f t="shared" ref="AE110:AM110" si="225">SUM(AE111:AE123)</f>
        <v>0</v>
      </c>
      <c r="AF110" s="19">
        <f t="shared" si="225"/>
        <v>0</v>
      </c>
      <c r="AG110" s="19">
        <f t="shared" si="225"/>
        <v>6.2685907261320004</v>
      </c>
      <c r="AH110" s="19">
        <f t="shared" si="225"/>
        <v>0</v>
      </c>
      <c r="AI110" s="19">
        <f t="shared" si="225"/>
        <v>5.1460919169600006</v>
      </c>
      <c r="AJ110" s="19">
        <f t="shared" si="225"/>
        <v>0</v>
      </c>
      <c r="AK110" s="19">
        <f t="shared" si="225"/>
        <v>0</v>
      </c>
      <c r="AL110" s="19">
        <f t="shared" si="225"/>
        <v>5.1460919169600006</v>
      </c>
      <c r="AM110" s="19">
        <f t="shared" si="225"/>
        <v>0</v>
      </c>
      <c r="AN110" s="19">
        <f>SUM(AN111:AN123)</f>
        <v>0.23927039999999999</v>
      </c>
      <c r="AO110" s="19">
        <f t="shared" ref="AO110:AW110" si="226">SUM(AO111:AO123)</f>
        <v>0</v>
      </c>
      <c r="AP110" s="19">
        <f t="shared" si="226"/>
        <v>0</v>
      </c>
      <c r="AQ110" s="19">
        <f t="shared" si="226"/>
        <v>0.23927039999999999</v>
      </c>
      <c r="AR110" s="19">
        <f t="shared" si="226"/>
        <v>0</v>
      </c>
      <c r="AS110" s="19">
        <f t="shared" si="226"/>
        <v>4.5829239851399999</v>
      </c>
      <c r="AT110" s="19">
        <f t="shared" si="226"/>
        <v>0</v>
      </c>
      <c r="AU110" s="19">
        <f t="shared" si="226"/>
        <v>0</v>
      </c>
      <c r="AV110" s="19">
        <f t="shared" si="226"/>
        <v>4.5829239851399999</v>
      </c>
      <c r="AW110" s="19">
        <f t="shared" si="226"/>
        <v>0</v>
      </c>
      <c r="AX110" s="19">
        <f t="shared" ref="AX110" si="227">SUM(AX111:AX123)</f>
        <v>0</v>
      </c>
      <c r="AY110" s="19">
        <f t="shared" ref="AY110" si="228">SUM(AY111:AY123)</f>
        <v>0</v>
      </c>
      <c r="AZ110" s="19">
        <f t="shared" ref="AZ110" si="229">SUM(AZ111:AZ123)</f>
        <v>0</v>
      </c>
      <c r="BA110" s="19">
        <f t="shared" ref="BA110" si="230">SUM(BA111:BA123)</f>
        <v>0</v>
      </c>
      <c r="BB110" s="19">
        <f t="shared" ref="BB110" si="231">SUM(BB111:BB123)</f>
        <v>0</v>
      </c>
      <c r="BC110" s="19">
        <f t="shared" ref="BC110" si="232">SUM(BC111:BC123)</f>
        <v>3.5922126295264798</v>
      </c>
      <c r="BD110" s="19">
        <f t="shared" ref="BD110" si="233">SUM(BD111:BD123)</f>
        <v>0</v>
      </c>
      <c r="BE110" s="19">
        <f t="shared" ref="BE110" si="234">SUM(BE111:BE123)</f>
        <v>0</v>
      </c>
      <c r="BF110" s="19">
        <f t="shared" ref="BF110" si="235">SUM(BF111:BF123)</f>
        <v>3.5922126295264798</v>
      </c>
      <c r="BG110" s="19">
        <f t="shared" ref="BG110" si="236">SUM(BG111:BG123)</f>
        <v>0</v>
      </c>
      <c r="BH110" s="19">
        <f t="shared" ref="BH110" si="237">SUM(BH111:BH123)</f>
        <v>0</v>
      </c>
      <c r="BI110" s="19">
        <f t="shared" ref="BI110" si="238">SUM(BI111:BI123)</f>
        <v>0</v>
      </c>
      <c r="BJ110" s="19">
        <f t="shared" ref="BJ110" si="239">SUM(BJ111:BJ123)</f>
        <v>0</v>
      </c>
      <c r="BK110" s="19">
        <f t="shared" ref="BK110" si="240">SUM(BK111:BK123)</f>
        <v>0</v>
      </c>
      <c r="BL110" s="19">
        <f t="shared" ref="BL110" si="241">SUM(BL111:BL123)</f>
        <v>0</v>
      </c>
      <c r="BM110" s="19">
        <f t="shared" ref="BM110" si="242">SUM(BM111:BM123)</f>
        <v>0</v>
      </c>
      <c r="BN110" s="19">
        <f t="shared" ref="BN110" si="243">SUM(BN111:BN123)</f>
        <v>0</v>
      </c>
      <c r="BO110" s="19">
        <f t="shared" ref="BO110" si="244">SUM(BO111:BO123)</f>
        <v>0</v>
      </c>
      <c r="BP110" s="19">
        <f t="shared" ref="BP110" si="245">SUM(BP111:BP123)</f>
        <v>0</v>
      </c>
      <c r="BQ110" s="19">
        <f t="shared" ref="BQ110" si="246">SUM(BQ111:BQ123)</f>
        <v>0</v>
      </c>
      <c r="BR110" s="19">
        <f t="shared" ref="BR110" si="247">SUM(BR111:BR123)</f>
        <v>0</v>
      </c>
      <c r="BS110" s="19">
        <f t="shared" ref="BS110" si="248">SUM(BS111:BS123)</f>
        <v>0</v>
      </c>
      <c r="BT110" s="19">
        <f t="shared" ref="BT110" si="249">SUM(BT111:BT123)</f>
        <v>0</v>
      </c>
      <c r="BU110" s="19">
        <f t="shared" ref="BU110" si="250">SUM(BU111:BU123)</f>
        <v>0</v>
      </c>
      <c r="BV110" s="19">
        <f t="shared" ref="BV110" si="251">SUM(BV111:BV123)</f>
        <v>0</v>
      </c>
      <c r="BW110" s="19">
        <f t="shared" ref="BW110" si="252">SUM(BW111:BW123)</f>
        <v>0</v>
      </c>
      <c r="BX110" s="19">
        <f t="shared" ref="BX110" si="253">SUM(BX111:BX123)</f>
        <v>0</v>
      </c>
      <c r="BY110" s="19">
        <f t="shared" ref="BY110" si="254">SUM(BY111:BY123)</f>
        <v>0</v>
      </c>
      <c r="BZ110" s="19">
        <f t="shared" ref="BZ110" si="255">SUM(BZ111:BZ123)</f>
        <v>0</v>
      </c>
      <c r="CA110" s="19">
        <f t="shared" ref="CA110" si="256">SUM(CA111:CA123)</f>
        <v>0</v>
      </c>
      <c r="CB110" s="19">
        <f t="shared" ref="CB110" si="257">SUM(CB111:CB123)</f>
        <v>6.767683968</v>
      </c>
      <c r="CC110" s="19">
        <f t="shared" ref="CC110" si="258">SUM(CC111:CC123)</f>
        <v>0</v>
      </c>
      <c r="CD110" s="19">
        <f t="shared" ref="CD110" si="259">SUM(CD111:CD123)</f>
        <v>0</v>
      </c>
      <c r="CE110" s="19">
        <f t="shared" ref="CE110" si="260">SUM(CE111:CE123)</f>
        <v>6.767683968</v>
      </c>
      <c r="CF110" s="19">
        <f>SUM(CF111:CF123)</f>
        <v>0</v>
      </c>
      <c r="CG110" s="19">
        <f t="shared" ref="CG110" si="261">SUM(CG111:CG123)</f>
        <v>6.767683968</v>
      </c>
      <c r="CH110" s="19">
        <f t="shared" ref="CH110" si="262">SUM(CH111:CH123)</f>
        <v>0</v>
      </c>
      <c r="CI110" s="19">
        <f t="shared" ref="CI110" si="263">SUM(CI111:CI123)</f>
        <v>0</v>
      </c>
      <c r="CJ110" s="19">
        <f t="shared" ref="CJ110" si="264">SUM(CJ111:CJ123)</f>
        <v>6.767683968</v>
      </c>
      <c r="CK110" s="19">
        <f t="shared" ref="CK110" si="265">SUM(CK111:CK123)</f>
        <v>0</v>
      </c>
      <c r="CL110" s="19">
        <v>13.275545094132001</v>
      </c>
      <c r="CM110" s="19">
        <f t="shared" ref="CM110:CO110" si="266">SUM(CM111:CM117)</f>
        <v>0</v>
      </c>
      <c r="CN110" s="19">
        <f t="shared" si="266"/>
        <v>0</v>
      </c>
      <c r="CO110" s="19">
        <f t="shared" si="266"/>
        <v>13.275545094132001</v>
      </c>
      <c r="CP110" s="19">
        <f>SUM(CP111:CP117)</f>
        <v>0</v>
      </c>
      <c r="CQ110" s="19">
        <f>SUM(CQ111:CQ123)</f>
        <v>20.088912499626481</v>
      </c>
      <c r="CR110" s="19">
        <f t="shared" ref="CR110:CU110" si="267">SUM(CR111:CR123)</f>
        <v>0</v>
      </c>
      <c r="CS110" s="19">
        <f t="shared" si="267"/>
        <v>0</v>
      </c>
      <c r="CT110" s="19">
        <f t="shared" si="267"/>
        <v>20.088912499626481</v>
      </c>
      <c r="CU110" s="19">
        <f t="shared" si="267"/>
        <v>0</v>
      </c>
      <c r="CV110" s="35" t="s">
        <v>103</v>
      </c>
    </row>
    <row r="111" spans="1:100" s="8" customFormat="1" ht="78.75" x14ac:dyDescent="0.25">
      <c r="A111" s="24" t="s">
        <v>104</v>
      </c>
      <c r="B111" s="20" t="s">
        <v>267</v>
      </c>
      <c r="C111" s="35" t="s">
        <v>316</v>
      </c>
      <c r="D111" s="16" t="s">
        <v>111</v>
      </c>
      <c r="E111" s="16">
        <v>2029</v>
      </c>
      <c r="F111" s="16">
        <v>2029</v>
      </c>
      <c r="G111" s="16">
        <v>2029</v>
      </c>
      <c r="H111" s="19" t="s">
        <v>103</v>
      </c>
      <c r="I111" s="19">
        <v>0.62299199999999988</v>
      </c>
      <c r="J111" s="22" t="s">
        <v>149</v>
      </c>
      <c r="K111" s="22" t="s">
        <v>103</v>
      </c>
      <c r="L111" s="22">
        <f t="shared" ref="L111:M113" si="268">I111</f>
        <v>0.62299199999999988</v>
      </c>
      <c r="M111" s="22" t="str">
        <f t="shared" si="268"/>
        <v>октябрь 2023 г.</v>
      </c>
      <c r="N111" s="16" t="s">
        <v>103</v>
      </c>
      <c r="O111" s="11">
        <v>0</v>
      </c>
      <c r="P111" s="19" t="s">
        <v>103</v>
      </c>
      <c r="Q111" s="19" t="s">
        <v>103</v>
      </c>
      <c r="R111" s="19" t="s">
        <v>103</v>
      </c>
      <c r="S111" s="19" t="s">
        <v>103</v>
      </c>
      <c r="T111" s="19">
        <f>CB111</f>
        <v>0.82299816000000003</v>
      </c>
      <c r="U111" s="19">
        <f>CT111</f>
        <v>0.82299816000000003</v>
      </c>
      <c r="V111" s="19" t="e">
        <f>#REF!</f>
        <v>#REF!</v>
      </c>
      <c r="W111" s="19" t="e">
        <f>#REF!</f>
        <v>#REF!</v>
      </c>
      <c r="X111" s="19">
        <f>AV111+BF111+BP111+BZ111+CJ111</f>
        <v>0.82299816000000003</v>
      </c>
      <c r="Y111" s="19">
        <v>0</v>
      </c>
      <c r="Z111" s="19">
        <v>0</v>
      </c>
      <c r="AA111" s="19">
        <v>0</v>
      </c>
      <c r="AB111" s="19">
        <v>0</v>
      </c>
      <c r="AC111" s="19">
        <v>0</v>
      </c>
      <c r="AD111" s="19">
        <v>0</v>
      </c>
      <c r="AE111" s="19">
        <v>0</v>
      </c>
      <c r="AF111" s="19">
        <v>0</v>
      </c>
      <c r="AG111" s="19">
        <v>0</v>
      </c>
      <c r="AH111" s="19">
        <v>0</v>
      </c>
      <c r="AI111" s="19">
        <f>SUM(AJ111:AM111)</f>
        <v>0</v>
      </c>
      <c r="AJ111" s="19">
        <v>0</v>
      </c>
      <c r="AK111" s="19">
        <v>0</v>
      </c>
      <c r="AL111" s="19">
        <v>0</v>
      </c>
      <c r="AM111" s="19">
        <v>0</v>
      </c>
      <c r="AN111" s="19">
        <f>AQ111</f>
        <v>0</v>
      </c>
      <c r="AO111" s="19">
        <v>0</v>
      </c>
      <c r="AP111" s="19">
        <v>0</v>
      </c>
      <c r="AQ111" s="19">
        <v>0</v>
      </c>
      <c r="AR111" s="21">
        <v>0</v>
      </c>
      <c r="AS111" s="21">
        <f>SUM(AT111:AW111)</f>
        <v>0</v>
      </c>
      <c r="AT111" s="21">
        <v>0</v>
      </c>
      <c r="AU111" s="21">
        <v>0</v>
      </c>
      <c r="AV111" s="21">
        <v>0</v>
      </c>
      <c r="AW111" s="21">
        <v>0</v>
      </c>
      <c r="AX111" s="19">
        <f>BA111</f>
        <v>0</v>
      </c>
      <c r="AY111" s="19">
        <f>AY112</f>
        <v>0</v>
      </c>
      <c r="AZ111" s="19">
        <f>AZ112</f>
        <v>0</v>
      </c>
      <c r="BA111" s="19">
        <v>0</v>
      </c>
      <c r="BB111" s="19">
        <f>BB112</f>
        <v>0</v>
      </c>
      <c r="BC111" s="19">
        <f>SUM(BD111:BG111)</f>
        <v>0</v>
      </c>
      <c r="BD111" s="19">
        <v>0</v>
      </c>
      <c r="BE111" s="19">
        <v>0</v>
      </c>
      <c r="BF111" s="19">
        <v>0</v>
      </c>
      <c r="BG111" s="19">
        <v>0</v>
      </c>
      <c r="BH111" s="19">
        <f>SUM(BI111:BL111)</f>
        <v>0</v>
      </c>
      <c r="BI111" s="19">
        <v>0</v>
      </c>
      <c r="BJ111" s="19">
        <v>0</v>
      </c>
      <c r="BK111" s="19">
        <v>0</v>
      </c>
      <c r="BL111" s="19">
        <v>0</v>
      </c>
      <c r="BM111" s="19">
        <f>SUM(BN111:BQ111)</f>
        <v>0</v>
      </c>
      <c r="BN111" s="19">
        <v>0</v>
      </c>
      <c r="BO111" s="19">
        <v>0</v>
      </c>
      <c r="BP111" s="19">
        <v>0</v>
      </c>
      <c r="BQ111" s="19">
        <v>0</v>
      </c>
      <c r="BR111" s="19">
        <f>SUM(BS111:BV111)</f>
        <v>0</v>
      </c>
      <c r="BS111" s="19">
        <v>0</v>
      </c>
      <c r="BT111" s="19">
        <v>0</v>
      </c>
      <c r="BU111" s="19">
        <v>0</v>
      </c>
      <c r="BV111" s="19">
        <v>0</v>
      </c>
      <c r="BW111" s="19">
        <f>SUM(BX111:CA111)</f>
        <v>0</v>
      </c>
      <c r="BX111" s="19">
        <v>0</v>
      </c>
      <c r="BY111" s="19">
        <v>0</v>
      </c>
      <c r="BZ111" s="19">
        <v>0</v>
      </c>
      <c r="CA111" s="19">
        <v>0</v>
      </c>
      <c r="CB111" s="19">
        <f>CE111</f>
        <v>0.82299816000000003</v>
      </c>
      <c r="CC111" s="19">
        <v>0</v>
      </c>
      <c r="CD111" s="19">
        <v>0</v>
      </c>
      <c r="CE111" s="19">
        <v>0.82299816000000003</v>
      </c>
      <c r="CF111" s="19">
        <v>0</v>
      </c>
      <c r="CG111" s="19">
        <f>SUM(CH111:CK111)</f>
        <v>0.82299816000000003</v>
      </c>
      <c r="CH111" s="19">
        <v>0</v>
      </c>
      <c r="CI111" s="19">
        <v>0</v>
      </c>
      <c r="CJ111" s="19">
        <f>CE111</f>
        <v>0.82299816000000003</v>
      </c>
      <c r="CK111" s="19">
        <v>0</v>
      </c>
      <c r="CL111" s="21">
        <v>0.82299816000000003</v>
      </c>
      <c r="CM111" s="19">
        <v>0</v>
      </c>
      <c r="CN111" s="19">
        <v>0</v>
      </c>
      <c r="CO111" s="21">
        <f>CE111</f>
        <v>0.82299816000000003</v>
      </c>
      <c r="CP111" s="19">
        <v>0</v>
      </c>
      <c r="CQ111" s="19">
        <f>SUM(CR111:CU111)</f>
        <v>0.82299816000000003</v>
      </c>
      <c r="CR111" s="19">
        <v>0</v>
      </c>
      <c r="CS111" s="19">
        <v>0</v>
      </c>
      <c r="CT111" s="19">
        <f t="shared" ref="CT111:CT123" si="269">CJ111+BZ111+BP111+BF111+AV111+AL111</f>
        <v>0.82299816000000003</v>
      </c>
      <c r="CU111" s="19">
        <v>0</v>
      </c>
      <c r="CV111" s="20" t="s">
        <v>131</v>
      </c>
    </row>
    <row r="112" spans="1:100" s="8" customFormat="1" ht="47.25" x14ac:dyDescent="0.25">
      <c r="A112" s="24" t="s">
        <v>105</v>
      </c>
      <c r="B112" s="20" t="s">
        <v>260</v>
      </c>
      <c r="C112" s="35" t="s">
        <v>317</v>
      </c>
      <c r="D112" s="16" t="s">
        <v>111</v>
      </c>
      <c r="E112" s="16">
        <v>2029</v>
      </c>
      <c r="F112" s="16">
        <v>2029</v>
      </c>
      <c r="G112" s="16">
        <v>2029</v>
      </c>
      <c r="H112" s="19" t="s">
        <v>103</v>
      </c>
      <c r="I112" s="19">
        <v>4.5</v>
      </c>
      <c r="J112" s="22" t="s">
        <v>134</v>
      </c>
      <c r="K112" s="22" t="s">
        <v>103</v>
      </c>
      <c r="L112" s="22">
        <f t="shared" si="268"/>
        <v>4.5</v>
      </c>
      <c r="M112" s="22" t="str">
        <f t="shared" si="268"/>
        <v>ноябрь 2023 г.</v>
      </c>
      <c r="N112" s="16" t="s">
        <v>103</v>
      </c>
      <c r="O112" s="11">
        <v>0</v>
      </c>
      <c r="P112" s="19" t="s">
        <v>103</v>
      </c>
      <c r="Q112" s="19" t="s">
        <v>103</v>
      </c>
      <c r="R112" s="19" t="s">
        <v>103</v>
      </c>
      <c r="S112" s="19" t="s">
        <v>103</v>
      </c>
      <c r="T112" s="19">
        <f>V112</f>
        <v>5.944685808</v>
      </c>
      <c r="U112" s="19">
        <f t="shared" ref="U112:U113" si="270">CT112</f>
        <v>5.944685808</v>
      </c>
      <c r="V112" s="19">
        <f>CB112</f>
        <v>5.944685808</v>
      </c>
      <c r="W112" s="19" t="e">
        <f>#REF!</f>
        <v>#REF!</v>
      </c>
      <c r="X112" s="19">
        <f t="shared" ref="X112:X123" si="271">AV112+BF112+BP112+BZ112+CJ112</f>
        <v>5.944685808</v>
      </c>
      <c r="Y112" s="19">
        <v>0</v>
      </c>
      <c r="Z112" s="19">
        <v>0</v>
      </c>
      <c r="AA112" s="19">
        <v>0</v>
      </c>
      <c r="AB112" s="19">
        <v>0</v>
      </c>
      <c r="AC112" s="19">
        <v>0</v>
      </c>
      <c r="AD112" s="19">
        <v>0</v>
      </c>
      <c r="AE112" s="19">
        <v>0</v>
      </c>
      <c r="AF112" s="19">
        <v>0</v>
      </c>
      <c r="AG112" s="19">
        <v>0</v>
      </c>
      <c r="AH112" s="19">
        <v>0</v>
      </c>
      <c r="AI112" s="19">
        <f t="shared" ref="AI112:AI123" si="272">SUM(AJ112:AM112)</f>
        <v>0</v>
      </c>
      <c r="AJ112" s="19">
        <v>0</v>
      </c>
      <c r="AK112" s="19">
        <v>0</v>
      </c>
      <c r="AL112" s="19">
        <v>0</v>
      </c>
      <c r="AM112" s="19">
        <v>0</v>
      </c>
      <c r="AN112" s="19">
        <f>AQ112</f>
        <v>0</v>
      </c>
      <c r="AO112" s="19">
        <v>0</v>
      </c>
      <c r="AP112" s="19">
        <v>0</v>
      </c>
      <c r="AQ112" s="19">
        <v>0</v>
      </c>
      <c r="AR112" s="21">
        <v>0</v>
      </c>
      <c r="AS112" s="21">
        <f t="shared" ref="AS112:AS123" si="273">SUM(AT112:AW112)</f>
        <v>0</v>
      </c>
      <c r="AT112" s="21">
        <v>0</v>
      </c>
      <c r="AU112" s="21">
        <v>0</v>
      </c>
      <c r="AV112" s="21">
        <v>0</v>
      </c>
      <c r="AW112" s="21">
        <v>0</v>
      </c>
      <c r="AX112" s="21">
        <f>BA112</f>
        <v>0</v>
      </c>
      <c r="AY112" s="21">
        <v>0</v>
      </c>
      <c r="AZ112" s="21">
        <v>0</v>
      </c>
      <c r="BA112" s="21">
        <v>0</v>
      </c>
      <c r="BB112" s="21">
        <v>0</v>
      </c>
      <c r="BC112" s="19">
        <f t="shared" ref="BC112:BC123" si="274">SUM(BD112:BG112)</f>
        <v>0</v>
      </c>
      <c r="BD112" s="19">
        <v>0</v>
      </c>
      <c r="BE112" s="19">
        <v>0</v>
      </c>
      <c r="BF112" s="19">
        <v>0</v>
      </c>
      <c r="BG112" s="19">
        <v>0</v>
      </c>
      <c r="BH112" s="19">
        <f t="shared" ref="BH112:BH117" si="275">SUM(BI112:BL112)</f>
        <v>0</v>
      </c>
      <c r="BI112" s="19">
        <v>0</v>
      </c>
      <c r="BJ112" s="19">
        <v>0</v>
      </c>
      <c r="BK112" s="19">
        <v>0</v>
      </c>
      <c r="BL112" s="19">
        <v>0</v>
      </c>
      <c r="BM112" s="19">
        <f t="shared" ref="BM112:BM123" si="276">SUM(BN112:BQ112)</f>
        <v>0</v>
      </c>
      <c r="BN112" s="19">
        <v>0</v>
      </c>
      <c r="BO112" s="19">
        <v>0</v>
      </c>
      <c r="BP112" s="19">
        <v>0</v>
      </c>
      <c r="BQ112" s="19">
        <v>0</v>
      </c>
      <c r="BR112" s="19">
        <f t="shared" ref="BR112:BR117" si="277">SUM(BS112:BV112)</f>
        <v>0</v>
      </c>
      <c r="BS112" s="19">
        <v>0</v>
      </c>
      <c r="BT112" s="19">
        <v>0</v>
      </c>
      <c r="BU112" s="19">
        <v>0</v>
      </c>
      <c r="BV112" s="19">
        <v>0</v>
      </c>
      <c r="BW112" s="19">
        <f t="shared" ref="BW112:BW123" si="278">SUM(BX112:CA112)</f>
        <v>0</v>
      </c>
      <c r="BX112" s="19">
        <v>0</v>
      </c>
      <c r="BY112" s="19">
        <v>0</v>
      </c>
      <c r="BZ112" s="19">
        <v>0</v>
      </c>
      <c r="CA112" s="19">
        <v>0</v>
      </c>
      <c r="CB112" s="19">
        <f>CE112</f>
        <v>5.944685808</v>
      </c>
      <c r="CC112" s="19">
        <v>0</v>
      </c>
      <c r="CD112" s="19">
        <v>0</v>
      </c>
      <c r="CE112" s="19">
        <f>5944.685808/1000</f>
        <v>5.944685808</v>
      </c>
      <c r="CF112" s="19">
        <v>0</v>
      </c>
      <c r="CG112" s="19">
        <f t="shared" ref="CG112:CG123" si="279">SUM(CH112:CK112)</f>
        <v>5.944685808</v>
      </c>
      <c r="CH112" s="19">
        <v>0</v>
      </c>
      <c r="CI112" s="19">
        <v>0</v>
      </c>
      <c r="CJ112" s="19">
        <f>CE112</f>
        <v>5.944685808</v>
      </c>
      <c r="CK112" s="19">
        <v>0</v>
      </c>
      <c r="CL112" s="21">
        <v>5.944685808</v>
      </c>
      <c r="CM112" s="19">
        <v>0</v>
      </c>
      <c r="CN112" s="19">
        <v>0</v>
      </c>
      <c r="CO112" s="21">
        <f>CE112</f>
        <v>5.944685808</v>
      </c>
      <c r="CP112" s="19">
        <v>0</v>
      </c>
      <c r="CQ112" s="19">
        <f t="shared" ref="CQ112:CQ123" si="280">SUM(CR112:CU112)</f>
        <v>5.944685808</v>
      </c>
      <c r="CR112" s="19">
        <v>0</v>
      </c>
      <c r="CS112" s="19">
        <v>0</v>
      </c>
      <c r="CT112" s="19">
        <f t="shared" si="269"/>
        <v>5.944685808</v>
      </c>
      <c r="CU112" s="19">
        <v>0</v>
      </c>
      <c r="CV112" s="20" t="s">
        <v>164</v>
      </c>
    </row>
    <row r="113" spans="1:100" s="8" customFormat="1" ht="63" x14ac:dyDescent="0.25">
      <c r="A113" s="24" t="s">
        <v>110</v>
      </c>
      <c r="B113" s="20" t="s">
        <v>150</v>
      </c>
      <c r="C113" s="35" t="s">
        <v>318</v>
      </c>
      <c r="D113" s="16" t="s">
        <v>111</v>
      </c>
      <c r="E113" s="16">
        <v>2025</v>
      </c>
      <c r="F113" s="16">
        <v>2025</v>
      </c>
      <c r="G113" s="16">
        <v>2025</v>
      </c>
      <c r="H113" s="19" t="s">
        <v>103</v>
      </c>
      <c r="I113" s="19">
        <v>0.21682000000000001</v>
      </c>
      <c r="J113" s="22" t="s">
        <v>134</v>
      </c>
      <c r="K113" s="22" t="s">
        <v>103</v>
      </c>
      <c r="L113" s="22">
        <f t="shared" si="268"/>
        <v>0.21682000000000001</v>
      </c>
      <c r="M113" s="22" t="str">
        <f t="shared" si="268"/>
        <v>ноябрь 2023 г.</v>
      </c>
      <c r="N113" s="16" t="s">
        <v>103</v>
      </c>
      <c r="O113" s="11">
        <v>0</v>
      </c>
      <c r="P113" s="19" t="s">
        <v>103</v>
      </c>
      <c r="Q113" s="19" t="s">
        <v>103</v>
      </c>
      <c r="R113" s="19" t="s">
        <v>103</v>
      </c>
      <c r="S113" s="19" t="s">
        <v>103</v>
      </c>
      <c r="T113" s="19">
        <f>AN113</f>
        <v>0.23927039999999999</v>
      </c>
      <c r="U113" s="19">
        <f t="shared" si="270"/>
        <v>0.23927039999999999</v>
      </c>
      <c r="V113" s="19" t="e">
        <f>#REF!</f>
        <v>#REF!</v>
      </c>
      <c r="W113" s="19" t="e">
        <f>#REF!</f>
        <v>#REF!</v>
      </c>
      <c r="X113" s="19">
        <f t="shared" si="271"/>
        <v>0.23927039999999999</v>
      </c>
      <c r="Y113" s="19">
        <v>0</v>
      </c>
      <c r="Z113" s="19">
        <v>0</v>
      </c>
      <c r="AA113" s="19">
        <v>0</v>
      </c>
      <c r="AB113" s="19">
        <v>0</v>
      </c>
      <c r="AC113" s="19">
        <v>0</v>
      </c>
      <c r="AD113" s="19">
        <v>0</v>
      </c>
      <c r="AE113" s="19">
        <v>0</v>
      </c>
      <c r="AF113" s="19">
        <v>0</v>
      </c>
      <c r="AG113" s="19">
        <v>0</v>
      </c>
      <c r="AH113" s="19">
        <v>0</v>
      </c>
      <c r="AI113" s="19">
        <f t="shared" si="272"/>
        <v>0</v>
      </c>
      <c r="AJ113" s="19">
        <v>0</v>
      </c>
      <c r="AK113" s="19">
        <v>0</v>
      </c>
      <c r="AL113" s="19">
        <v>0</v>
      </c>
      <c r="AM113" s="19">
        <v>0</v>
      </c>
      <c r="AN113" s="19">
        <f>AQ113</f>
        <v>0.23927039999999999</v>
      </c>
      <c r="AO113" s="19">
        <v>0</v>
      </c>
      <c r="AP113" s="19">
        <v>0</v>
      </c>
      <c r="AQ113" s="19">
        <f>239.2704/1000</f>
        <v>0.23927039999999999</v>
      </c>
      <c r="AR113" s="21">
        <v>0</v>
      </c>
      <c r="AS113" s="21">
        <f t="shared" si="273"/>
        <v>0.23927039999999999</v>
      </c>
      <c r="AT113" s="21">
        <v>0</v>
      </c>
      <c r="AU113" s="21">
        <v>0</v>
      </c>
      <c r="AV113" s="21">
        <v>0.23927039999999999</v>
      </c>
      <c r="AW113" s="21">
        <v>0</v>
      </c>
      <c r="AX113" s="21">
        <f>BA113</f>
        <v>0</v>
      </c>
      <c r="AY113" s="21">
        <v>0</v>
      </c>
      <c r="AZ113" s="21">
        <v>0</v>
      </c>
      <c r="BA113" s="21">
        <v>0</v>
      </c>
      <c r="BB113" s="21">
        <v>0</v>
      </c>
      <c r="BC113" s="19">
        <f t="shared" si="274"/>
        <v>0</v>
      </c>
      <c r="BD113" s="19">
        <v>0</v>
      </c>
      <c r="BE113" s="19">
        <v>0</v>
      </c>
      <c r="BF113" s="19">
        <v>0</v>
      </c>
      <c r="BG113" s="19">
        <v>0</v>
      </c>
      <c r="BH113" s="19">
        <f t="shared" si="275"/>
        <v>0</v>
      </c>
      <c r="BI113" s="19">
        <v>0</v>
      </c>
      <c r="BJ113" s="19">
        <v>0</v>
      </c>
      <c r="BK113" s="19">
        <v>0</v>
      </c>
      <c r="BL113" s="19">
        <v>0</v>
      </c>
      <c r="BM113" s="19">
        <f t="shared" si="276"/>
        <v>0</v>
      </c>
      <c r="BN113" s="19">
        <v>0</v>
      </c>
      <c r="BO113" s="19">
        <v>0</v>
      </c>
      <c r="BP113" s="19">
        <v>0</v>
      </c>
      <c r="BQ113" s="19">
        <v>0</v>
      </c>
      <c r="BR113" s="19">
        <f t="shared" si="277"/>
        <v>0</v>
      </c>
      <c r="BS113" s="19">
        <v>0</v>
      </c>
      <c r="BT113" s="19">
        <v>0</v>
      </c>
      <c r="BU113" s="19">
        <v>0</v>
      </c>
      <c r="BV113" s="19">
        <v>0</v>
      </c>
      <c r="BW113" s="19">
        <f t="shared" si="278"/>
        <v>0</v>
      </c>
      <c r="BX113" s="19">
        <v>0</v>
      </c>
      <c r="BY113" s="19">
        <v>0</v>
      </c>
      <c r="BZ113" s="19">
        <v>0</v>
      </c>
      <c r="CA113" s="19">
        <v>0</v>
      </c>
      <c r="CB113" s="19">
        <v>0</v>
      </c>
      <c r="CC113" s="19">
        <v>0</v>
      </c>
      <c r="CD113" s="19">
        <v>0</v>
      </c>
      <c r="CE113" s="19">
        <v>0</v>
      </c>
      <c r="CF113" s="19">
        <v>0</v>
      </c>
      <c r="CG113" s="19">
        <f t="shared" si="279"/>
        <v>0</v>
      </c>
      <c r="CH113" s="19">
        <v>0</v>
      </c>
      <c r="CI113" s="19">
        <v>0</v>
      </c>
      <c r="CJ113" s="19">
        <v>0</v>
      </c>
      <c r="CK113" s="19">
        <v>0</v>
      </c>
      <c r="CL113" s="21">
        <v>0.23927039999999999</v>
      </c>
      <c r="CM113" s="19">
        <v>0</v>
      </c>
      <c r="CN113" s="19">
        <v>0</v>
      </c>
      <c r="CO113" s="21">
        <f>T113</f>
        <v>0.23927039999999999</v>
      </c>
      <c r="CP113" s="19">
        <v>0</v>
      </c>
      <c r="CQ113" s="19">
        <f t="shared" si="280"/>
        <v>0.23927039999999999</v>
      </c>
      <c r="CR113" s="19">
        <v>0</v>
      </c>
      <c r="CS113" s="19">
        <v>0</v>
      </c>
      <c r="CT113" s="19">
        <f t="shared" si="269"/>
        <v>0.23927039999999999</v>
      </c>
      <c r="CU113" s="19">
        <v>0</v>
      </c>
      <c r="CV113" s="20" t="s">
        <v>130</v>
      </c>
    </row>
    <row r="114" spans="1:100" s="8" customFormat="1" ht="31.5" x14ac:dyDescent="0.25">
      <c r="A114" s="24" t="s">
        <v>227</v>
      </c>
      <c r="B114" s="20" t="s">
        <v>231</v>
      </c>
      <c r="C114" s="35" t="s">
        <v>233</v>
      </c>
      <c r="D114" s="16" t="s">
        <v>111</v>
      </c>
      <c r="E114" s="16">
        <v>2024</v>
      </c>
      <c r="F114" s="16">
        <v>2024</v>
      </c>
      <c r="G114" s="16">
        <v>2024</v>
      </c>
      <c r="H114" s="19" t="s">
        <v>103</v>
      </c>
      <c r="I114" s="19">
        <v>0.30199999999999999</v>
      </c>
      <c r="J114" s="22" t="s">
        <v>149</v>
      </c>
      <c r="K114" s="22" t="s">
        <v>103</v>
      </c>
      <c r="L114" s="22">
        <f>AL114</f>
        <v>0.27300000000000002</v>
      </c>
      <c r="M114" s="22" t="s">
        <v>103</v>
      </c>
      <c r="N114" s="16" t="s">
        <v>103</v>
      </c>
      <c r="O114" s="11">
        <v>0</v>
      </c>
      <c r="P114" s="19" t="s">
        <v>103</v>
      </c>
      <c r="Q114" s="19" t="s">
        <v>103</v>
      </c>
      <c r="R114" s="19" t="s">
        <v>103</v>
      </c>
      <c r="S114" s="19" t="s">
        <v>103</v>
      </c>
      <c r="T114" s="19">
        <f>O114+CL114</f>
        <v>0.31800600421199998</v>
      </c>
      <c r="U114" s="19">
        <f t="shared" ref="U114:U123" si="281">Y114+CQ114</f>
        <v>0.27300000000000002</v>
      </c>
      <c r="V114" s="26">
        <f t="shared" ref="V114:V123" si="282">T114</f>
        <v>0.31800600421199998</v>
      </c>
      <c r="W114" s="26">
        <f>T114-Y114-AD114</f>
        <v>0</v>
      </c>
      <c r="X114" s="19">
        <f t="shared" si="271"/>
        <v>0</v>
      </c>
      <c r="Y114" s="19">
        <v>0</v>
      </c>
      <c r="Z114" s="19">
        <v>0</v>
      </c>
      <c r="AA114" s="19">
        <v>0</v>
      </c>
      <c r="AB114" s="19">
        <v>0</v>
      </c>
      <c r="AC114" s="19">
        <v>0</v>
      </c>
      <c r="AD114" s="19">
        <f>AG114</f>
        <v>0.31800600421199998</v>
      </c>
      <c r="AE114" s="19">
        <v>0</v>
      </c>
      <c r="AF114" s="19">
        <v>0</v>
      </c>
      <c r="AG114" s="19">
        <f>318.006004212/1000</f>
        <v>0.31800600421199998</v>
      </c>
      <c r="AH114" s="19">
        <v>0</v>
      </c>
      <c r="AI114" s="19">
        <f t="shared" si="272"/>
        <v>0.27300000000000002</v>
      </c>
      <c r="AJ114" s="19">
        <v>0</v>
      </c>
      <c r="AK114" s="19">
        <v>0</v>
      </c>
      <c r="AL114" s="19">
        <v>0.27300000000000002</v>
      </c>
      <c r="AM114" s="19">
        <v>0</v>
      </c>
      <c r="AN114" s="19">
        <v>0</v>
      </c>
      <c r="AO114" s="19">
        <v>0</v>
      </c>
      <c r="AP114" s="19">
        <v>0</v>
      </c>
      <c r="AQ114" s="19">
        <v>0</v>
      </c>
      <c r="AR114" s="21">
        <v>0</v>
      </c>
      <c r="AS114" s="21">
        <f t="shared" si="273"/>
        <v>0</v>
      </c>
      <c r="AT114" s="21">
        <v>0</v>
      </c>
      <c r="AU114" s="21">
        <v>0</v>
      </c>
      <c r="AV114" s="21">
        <v>0</v>
      </c>
      <c r="AW114" s="21">
        <v>0</v>
      </c>
      <c r="AX114" s="21">
        <v>0</v>
      </c>
      <c r="AY114" s="21">
        <v>0</v>
      </c>
      <c r="AZ114" s="21">
        <v>0</v>
      </c>
      <c r="BA114" s="21">
        <v>0</v>
      </c>
      <c r="BB114" s="21">
        <v>0</v>
      </c>
      <c r="BC114" s="19">
        <f t="shared" si="274"/>
        <v>0</v>
      </c>
      <c r="BD114" s="19">
        <v>0</v>
      </c>
      <c r="BE114" s="19">
        <v>0</v>
      </c>
      <c r="BF114" s="19">
        <v>0</v>
      </c>
      <c r="BG114" s="19">
        <v>0</v>
      </c>
      <c r="BH114" s="19">
        <f t="shared" si="275"/>
        <v>0</v>
      </c>
      <c r="BI114" s="19">
        <v>0</v>
      </c>
      <c r="BJ114" s="19">
        <v>0</v>
      </c>
      <c r="BK114" s="19">
        <v>0</v>
      </c>
      <c r="BL114" s="19">
        <v>0</v>
      </c>
      <c r="BM114" s="19">
        <f t="shared" si="276"/>
        <v>0</v>
      </c>
      <c r="BN114" s="19">
        <v>0</v>
      </c>
      <c r="BO114" s="19">
        <v>0</v>
      </c>
      <c r="BP114" s="19">
        <v>0</v>
      </c>
      <c r="BQ114" s="19">
        <v>0</v>
      </c>
      <c r="BR114" s="19">
        <f t="shared" si="277"/>
        <v>0</v>
      </c>
      <c r="BS114" s="19">
        <v>0</v>
      </c>
      <c r="BT114" s="19">
        <v>0</v>
      </c>
      <c r="BU114" s="19">
        <v>0</v>
      </c>
      <c r="BV114" s="19">
        <v>0</v>
      </c>
      <c r="BW114" s="19">
        <f t="shared" si="278"/>
        <v>0</v>
      </c>
      <c r="BX114" s="19">
        <v>0</v>
      </c>
      <c r="BY114" s="19">
        <v>0</v>
      </c>
      <c r="BZ114" s="19">
        <v>0</v>
      </c>
      <c r="CA114" s="19">
        <v>0</v>
      </c>
      <c r="CB114" s="19">
        <v>0</v>
      </c>
      <c r="CC114" s="19">
        <v>0</v>
      </c>
      <c r="CD114" s="19">
        <v>0</v>
      </c>
      <c r="CE114" s="19">
        <v>0</v>
      </c>
      <c r="CF114" s="19">
        <v>0</v>
      </c>
      <c r="CG114" s="19">
        <f t="shared" si="279"/>
        <v>0</v>
      </c>
      <c r="CH114" s="19">
        <v>0</v>
      </c>
      <c r="CI114" s="19">
        <v>0</v>
      </c>
      <c r="CJ114" s="19">
        <v>0</v>
      </c>
      <c r="CK114" s="19">
        <v>0</v>
      </c>
      <c r="CL114" s="21">
        <v>0.31800600421199998</v>
      </c>
      <c r="CM114" s="19">
        <v>0</v>
      </c>
      <c r="CN114" s="19">
        <v>0</v>
      </c>
      <c r="CO114" s="21">
        <f>CE114+BU114+BK114+BA114+AQ114+AG114</f>
        <v>0.31800600421199998</v>
      </c>
      <c r="CP114" s="19">
        <v>0</v>
      </c>
      <c r="CQ114" s="19">
        <f t="shared" si="280"/>
        <v>0.27300000000000002</v>
      </c>
      <c r="CR114" s="19">
        <v>0</v>
      </c>
      <c r="CS114" s="19">
        <v>0</v>
      </c>
      <c r="CT114" s="19">
        <f t="shared" si="269"/>
        <v>0.27300000000000002</v>
      </c>
      <c r="CU114" s="19">
        <v>0</v>
      </c>
      <c r="CV114" s="20" t="s">
        <v>164</v>
      </c>
    </row>
    <row r="115" spans="1:100" s="8" customFormat="1" ht="63" x14ac:dyDescent="0.25">
      <c r="A115" s="24" t="s">
        <v>228</v>
      </c>
      <c r="B115" s="20" t="s">
        <v>240</v>
      </c>
      <c r="C115" s="35" t="s">
        <v>234</v>
      </c>
      <c r="D115" s="16" t="s">
        <v>111</v>
      </c>
      <c r="E115" s="16">
        <v>2024</v>
      </c>
      <c r="F115" s="16">
        <v>2024</v>
      </c>
      <c r="G115" s="16">
        <v>2024</v>
      </c>
      <c r="H115" s="19" t="s">
        <v>103</v>
      </c>
      <c r="I115" s="19">
        <v>4.4653941599999998</v>
      </c>
      <c r="J115" s="22" t="s">
        <v>241</v>
      </c>
      <c r="K115" s="22" t="s">
        <v>103</v>
      </c>
      <c r="L115" s="22">
        <f>AL115</f>
        <v>1.8204</v>
      </c>
      <c r="M115" s="22" t="s">
        <v>103</v>
      </c>
      <c r="N115" s="16" t="s">
        <v>103</v>
      </c>
      <c r="O115" s="11">
        <v>0</v>
      </c>
      <c r="P115" s="19" t="s">
        <v>103</v>
      </c>
      <c r="Q115" s="19" t="s">
        <v>103</v>
      </c>
      <c r="R115" s="19" t="s">
        <v>103</v>
      </c>
      <c r="S115" s="19" t="s">
        <v>103</v>
      </c>
      <c r="T115" s="19">
        <f>O115+CL115</f>
        <v>4.7020600504800001</v>
      </c>
      <c r="U115" s="19">
        <f t="shared" si="281"/>
        <v>1.8204</v>
      </c>
      <c r="V115" s="26">
        <f t="shared" si="282"/>
        <v>4.7020600504800001</v>
      </c>
      <c r="W115" s="26">
        <f>T115-Y115-AD115</f>
        <v>0</v>
      </c>
      <c r="X115" s="19">
        <f t="shared" si="271"/>
        <v>0</v>
      </c>
      <c r="Y115" s="19">
        <v>0</v>
      </c>
      <c r="Z115" s="19">
        <v>0</v>
      </c>
      <c r="AA115" s="19">
        <v>0</v>
      </c>
      <c r="AB115" s="19">
        <v>0</v>
      </c>
      <c r="AC115" s="19">
        <v>0</v>
      </c>
      <c r="AD115" s="19">
        <f>AG115</f>
        <v>4.7020600504800001</v>
      </c>
      <c r="AE115" s="19">
        <v>0</v>
      </c>
      <c r="AF115" s="19">
        <v>0</v>
      </c>
      <c r="AG115" s="19">
        <f>4702.06005048/1000</f>
        <v>4.7020600504800001</v>
      </c>
      <c r="AH115" s="19">
        <v>0</v>
      </c>
      <c r="AI115" s="19">
        <f t="shared" si="272"/>
        <v>1.8204</v>
      </c>
      <c r="AJ115" s="19">
        <v>0</v>
      </c>
      <c r="AK115" s="19">
        <v>0</v>
      </c>
      <c r="AL115" s="19">
        <v>1.8204</v>
      </c>
      <c r="AM115" s="19">
        <v>0</v>
      </c>
      <c r="AN115" s="19">
        <v>0</v>
      </c>
      <c r="AO115" s="19">
        <v>0</v>
      </c>
      <c r="AP115" s="19">
        <v>0</v>
      </c>
      <c r="AQ115" s="19">
        <v>0</v>
      </c>
      <c r="AR115" s="21">
        <v>0</v>
      </c>
      <c r="AS115" s="21">
        <f t="shared" si="273"/>
        <v>0</v>
      </c>
      <c r="AT115" s="21">
        <v>0</v>
      </c>
      <c r="AU115" s="21">
        <v>0</v>
      </c>
      <c r="AV115" s="21">
        <v>0</v>
      </c>
      <c r="AW115" s="21">
        <v>0</v>
      </c>
      <c r="AX115" s="21">
        <v>0</v>
      </c>
      <c r="AY115" s="21">
        <v>0</v>
      </c>
      <c r="AZ115" s="21">
        <v>0</v>
      </c>
      <c r="BA115" s="21">
        <v>0</v>
      </c>
      <c r="BB115" s="21">
        <v>0</v>
      </c>
      <c r="BC115" s="19">
        <f t="shared" si="274"/>
        <v>0</v>
      </c>
      <c r="BD115" s="19">
        <v>0</v>
      </c>
      <c r="BE115" s="19">
        <v>0</v>
      </c>
      <c r="BF115" s="19">
        <v>0</v>
      </c>
      <c r="BG115" s="19">
        <v>0</v>
      </c>
      <c r="BH115" s="19">
        <f t="shared" si="275"/>
        <v>0</v>
      </c>
      <c r="BI115" s="19">
        <v>0</v>
      </c>
      <c r="BJ115" s="19">
        <v>0</v>
      </c>
      <c r="BK115" s="19">
        <v>0</v>
      </c>
      <c r="BL115" s="19">
        <v>0</v>
      </c>
      <c r="BM115" s="19">
        <f t="shared" si="276"/>
        <v>0</v>
      </c>
      <c r="BN115" s="19">
        <v>0</v>
      </c>
      <c r="BO115" s="19">
        <v>0</v>
      </c>
      <c r="BP115" s="19">
        <v>0</v>
      </c>
      <c r="BQ115" s="19">
        <v>0</v>
      </c>
      <c r="BR115" s="19">
        <f t="shared" si="277"/>
        <v>0</v>
      </c>
      <c r="BS115" s="19">
        <v>0</v>
      </c>
      <c r="BT115" s="19">
        <v>0</v>
      </c>
      <c r="BU115" s="19">
        <v>0</v>
      </c>
      <c r="BV115" s="19">
        <v>0</v>
      </c>
      <c r="BW115" s="19">
        <f t="shared" si="278"/>
        <v>0</v>
      </c>
      <c r="BX115" s="19">
        <v>0</v>
      </c>
      <c r="BY115" s="19">
        <v>0</v>
      </c>
      <c r="BZ115" s="19">
        <v>0</v>
      </c>
      <c r="CA115" s="19">
        <v>0</v>
      </c>
      <c r="CB115" s="19">
        <v>0</v>
      </c>
      <c r="CC115" s="19">
        <v>0</v>
      </c>
      <c r="CD115" s="19">
        <v>0</v>
      </c>
      <c r="CE115" s="19">
        <v>0</v>
      </c>
      <c r="CF115" s="19">
        <v>0</v>
      </c>
      <c r="CG115" s="19">
        <f t="shared" si="279"/>
        <v>0</v>
      </c>
      <c r="CH115" s="19">
        <v>0</v>
      </c>
      <c r="CI115" s="19">
        <v>0</v>
      </c>
      <c r="CJ115" s="19">
        <v>0</v>
      </c>
      <c r="CK115" s="19">
        <v>0</v>
      </c>
      <c r="CL115" s="21">
        <v>4.7020600504800001</v>
      </c>
      <c r="CM115" s="19">
        <v>0</v>
      </c>
      <c r="CN115" s="19">
        <v>0</v>
      </c>
      <c r="CO115" s="21">
        <f>CE115+BU115+BK115+BA115+AQ115+AG115</f>
        <v>4.7020600504800001</v>
      </c>
      <c r="CP115" s="19">
        <v>0</v>
      </c>
      <c r="CQ115" s="19">
        <f t="shared" si="280"/>
        <v>1.8204</v>
      </c>
      <c r="CR115" s="19">
        <v>0</v>
      </c>
      <c r="CS115" s="19">
        <v>0</v>
      </c>
      <c r="CT115" s="19">
        <f t="shared" si="269"/>
        <v>1.8204</v>
      </c>
      <c r="CU115" s="19">
        <v>0</v>
      </c>
      <c r="CV115" s="20" t="s">
        <v>130</v>
      </c>
    </row>
    <row r="116" spans="1:100" s="8" customFormat="1" ht="78.75" x14ac:dyDescent="0.25">
      <c r="A116" s="24" t="s">
        <v>229</v>
      </c>
      <c r="B116" s="20" t="s">
        <v>232</v>
      </c>
      <c r="C116" s="35" t="s">
        <v>235</v>
      </c>
      <c r="D116" s="16" t="s">
        <v>111</v>
      </c>
      <c r="E116" s="16">
        <v>2024</v>
      </c>
      <c r="F116" s="16">
        <v>2024</v>
      </c>
      <c r="G116" s="16">
        <v>2024</v>
      </c>
      <c r="H116" s="19">
        <v>4.6111840000000001E-2</v>
      </c>
      <c r="I116" s="19">
        <v>0.46810467</v>
      </c>
      <c r="J116" s="22" t="s">
        <v>236</v>
      </c>
      <c r="K116" s="22">
        <f>H116</f>
        <v>4.6111840000000001E-2</v>
      </c>
      <c r="L116" s="22">
        <f>AL116</f>
        <v>0.43988112000000001</v>
      </c>
      <c r="M116" s="22" t="s">
        <v>103</v>
      </c>
      <c r="N116" s="16" t="s">
        <v>103</v>
      </c>
      <c r="O116" s="11">
        <v>0</v>
      </c>
      <c r="P116" s="19" t="s">
        <v>103</v>
      </c>
      <c r="Q116" s="19" t="s">
        <v>103</v>
      </c>
      <c r="R116" s="19" t="s">
        <v>103</v>
      </c>
      <c r="S116" s="19" t="s">
        <v>103</v>
      </c>
      <c r="T116" s="19">
        <f>O116+CL116</f>
        <v>0.46810467144000001</v>
      </c>
      <c r="U116" s="19">
        <f t="shared" si="281"/>
        <v>0.43988112000000001</v>
      </c>
      <c r="V116" s="26">
        <f t="shared" si="282"/>
        <v>0.46810467144000001</v>
      </c>
      <c r="W116" s="26">
        <f>T116-Y116-AD116</f>
        <v>0</v>
      </c>
      <c r="X116" s="19">
        <f t="shared" si="271"/>
        <v>0</v>
      </c>
      <c r="Y116" s="19">
        <v>0</v>
      </c>
      <c r="Z116" s="19">
        <v>0</v>
      </c>
      <c r="AA116" s="19">
        <v>0</v>
      </c>
      <c r="AB116" s="19">
        <v>0</v>
      </c>
      <c r="AC116" s="19">
        <v>0</v>
      </c>
      <c r="AD116" s="19">
        <f>AG116</f>
        <v>0.46810467144000001</v>
      </c>
      <c r="AE116" s="19">
        <v>0</v>
      </c>
      <c r="AF116" s="19">
        <v>0</v>
      </c>
      <c r="AG116" s="19">
        <f>468.10467144/1000</f>
        <v>0.46810467144000001</v>
      </c>
      <c r="AH116" s="19">
        <v>0</v>
      </c>
      <c r="AI116" s="19">
        <f t="shared" si="272"/>
        <v>0.43988112000000001</v>
      </c>
      <c r="AJ116" s="19">
        <v>0</v>
      </c>
      <c r="AK116" s="19">
        <v>0</v>
      </c>
      <c r="AL116" s="19">
        <v>0.43988112000000001</v>
      </c>
      <c r="AM116" s="19">
        <v>0</v>
      </c>
      <c r="AN116" s="19">
        <v>0</v>
      </c>
      <c r="AO116" s="19">
        <v>0</v>
      </c>
      <c r="AP116" s="19">
        <v>0</v>
      </c>
      <c r="AQ116" s="19">
        <v>0</v>
      </c>
      <c r="AR116" s="21">
        <v>0</v>
      </c>
      <c r="AS116" s="21">
        <f t="shared" si="273"/>
        <v>0</v>
      </c>
      <c r="AT116" s="21">
        <v>0</v>
      </c>
      <c r="AU116" s="21">
        <v>0</v>
      </c>
      <c r="AV116" s="21">
        <v>0</v>
      </c>
      <c r="AW116" s="21">
        <v>0</v>
      </c>
      <c r="AX116" s="21">
        <v>0</v>
      </c>
      <c r="AY116" s="21">
        <v>0</v>
      </c>
      <c r="AZ116" s="21">
        <v>0</v>
      </c>
      <c r="BA116" s="21">
        <v>0</v>
      </c>
      <c r="BB116" s="21">
        <v>0</v>
      </c>
      <c r="BC116" s="19">
        <f t="shared" si="274"/>
        <v>0</v>
      </c>
      <c r="BD116" s="19">
        <v>0</v>
      </c>
      <c r="BE116" s="19">
        <v>0</v>
      </c>
      <c r="BF116" s="19">
        <v>0</v>
      </c>
      <c r="BG116" s="19">
        <v>0</v>
      </c>
      <c r="BH116" s="19">
        <f t="shared" si="275"/>
        <v>0</v>
      </c>
      <c r="BI116" s="19">
        <v>0</v>
      </c>
      <c r="BJ116" s="19">
        <v>0</v>
      </c>
      <c r="BK116" s="19">
        <v>0</v>
      </c>
      <c r="BL116" s="19">
        <v>0</v>
      </c>
      <c r="BM116" s="19">
        <f t="shared" si="276"/>
        <v>0</v>
      </c>
      <c r="BN116" s="19">
        <v>0</v>
      </c>
      <c r="BO116" s="19">
        <v>0</v>
      </c>
      <c r="BP116" s="19">
        <v>0</v>
      </c>
      <c r="BQ116" s="19">
        <v>0</v>
      </c>
      <c r="BR116" s="19">
        <f t="shared" si="277"/>
        <v>0</v>
      </c>
      <c r="BS116" s="19">
        <v>0</v>
      </c>
      <c r="BT116" s="19">
        <v>0</v>
      </c>
      <c r="BU116" s="19">
        <v>0</v>
      </c>
      <c r="BV116" s="19">
        <v>0</v>
      </c>
      <c r="BW116" s="19">
        <f>SUM(BX116:CA116)</f>
        <v>0</v>
      </c>
      <c r="BX116" s="19">
        <v>0</v>
      </c>
      <c r="BY116" s="19">
        <v>0</v>
      </c>
      <c r="BZ116" s="19">
        <v>0</v>
      </c>
      <c r="CA116" s="19">
        <v>0</v>
      </c>
      <c r="CB116" s="19">
        <v>0</v>
      </c>
      <c r="CC116" s="19">
        <v>0</v>
      </c>
      <c r="CD116" s="19">
        <v>0</v>
      </c>
      <c r="CE116" s="19">
        <v>0</v>
      </c>
      <c r="CF116" s="19">
        <v>0</v>
      </c>
      <c r="CG116" s="19">
        <f t="shared" si="279"/>
        <v>0</v>
      </c>
      <c r="CH116" s="19">
        <v>0</v>
      </c>
      <c r="CI116" s="19">
        <v>0</v>
      </c>
      <c r="CJ116" s="19">
        <v>0</v>
      </c>
      <c r="CK116" s="19">
        <v>0</v>
      </c>
      <c r="CL116" s="21">
        <v>0.46810467144000001</v>
      </c>
      <c r="CM116" s="19">
        <v>0</v>
      </c>
      <c r="CN116" s="19">
        <v>0</v>
      </c>
      <c r="CO116" s="21">
        <f>CE116+BU116+BK116+BA116+AQ116+AG116</f>
        <v>0.46810467144000001</v>
      </c>
      <c r="CP116" s="19">
        <v>0</v>
      </c>
      <c r="CQ116" s="19">
        <f t="shared" si="280"/>
        <v>0.43988112000000001</v>
      </c>
      <c r="CR116" s="19">
        <v>0</v>
      </c>
      <c r="CS116" s="19">
        <v>0</v>
      </c>
      <c r="CT116" s="19">
        <f t="shared" si="269"/>
        <v>0.43988112000000001</v>
      </c>
      <c r="CU116" s="19">
        <v>0</v>
      </c>
      <c r="CV116" s="20" t="s">
        <v>237</v>
      </c>
    </row>
    <row r="117" spans="1:100" s="8" customFormat="1" ht="47.25" x14ac:dyDescent="0.25">
      <c r="A117" s="24" t="s">
        <v>230</v>
      </c>
      <c r="B117" s="20" t="s">
        <v>273</v>
      </c>
      <c r="C117" s="35" t="s">
        <v>239</v>
      </c>
      <c r="D117" s="16" t="s">
        <v>111</v>
      </c>
      <c r="E117" s="16">
        <v>2024</v>
      </c>
      <c r="F117" s="16">
        <v>2024</v>
      </c>
      <c r="G117" s="16">
        <v>2025</v>
      </c>
      <c r="H117" s="19" t="s">
        <v>103</v>
      </c>
      <c r="I117" s="19">
        <f>780.42/1000</f>
        <v>0.78042</v>
      </c>
      <c r="J117" s="22" t="s">
        <v>238</v>
      </c>
      <c r="K117" s="22" t="s">
        <v>103</v>
      </c>
      <c r="L117" s="22">
        <f>CT117</f>
        <v>2.4755880000000001</v>
      </c>
      <c r="M117" s="22" t="s">
        <v>103</v>
      </c>
      <c r="N117" s="16" t="s">
        <v>103</v>
      </c>
      <c r="O117" s="11">
        <v>0</v>
      </c>
      <c r="P117" s="19" t="s">
        <v>103</v>
      </c>
      <c r="Q117" s="19" t="s">
        <v>103</v>
      </c>
      <c r="R117" s="19" t="s">
        <v>103</v>
      </c>
      <c r="S117" s="19" t="s">
        <v>103</v>
      </c>
      <c r="T117" s="19">
        <f>O117+CL117</f>
        <v>0.78042</v>
      </c>
      <c r="U117" s="19">
        <f t="shared" si="281"/>
        <v>2.4755880000000001</v>
      </c>
      <c r="V117" s="26">
        <f t="shared" si="282"/>
        <v>0.78042</v>
      </c>
      <c r="W117" s="26">
        <f>T117-Y117-AD117</f>
        <v>0</v>
      </c>
      <c r="X117" s="19">
        <f t="shared" si="271"/>
        <v>1.387008</v>
      </c>
      <c r="Y117" s="19">
        <v>0</v>
      </c>
      <c r="Z117" s="19">
        <v>0</v>
      </c>
      <c r="AA117" s="19">
        <v>0</v>
      </c>
      <c r="AB117" s="19">
        <v>0</v>
      </c>
      <c r="AC117" s="19">
        <v>0</v>
      </c>
      <c r="AD117" s="19">
        <f>AG117</f>
        <v>0.78042</v>
      </c>
      <c r="AE117" s="19">
        <v>0</v>
      </c>
      <c r="AF117" s="19">
        <v>0</v>
      </c>
      <c r="AG117" s="19">
        <v>0.78042</v>
      </c>
      <c r="AH117" s="19">
        <v>0</v>
      </c>
      <c r="AI117" s="19">
        <f t="shared" si="272"/>
        <v>1.0885800000000001</v>
      </c>
      <c r="AJ117" s="19">
        <v>0</v>
      </c>
      <c r="AK117" s="19">
        <v>0</v>
      </c>
      <c r="AL117" s="19">
        <v>1.0885800000000001</v>
      </c>
      <c r="AM117" s="19">
        <v>0</v>
      </c>
      <c r="AN117" s="19">
        <v>0</v>
      </c>
      <c r="AO117" s="19">
        <v>0</v>
      </c>
      <c r="AP117" s="19">
        <v>0</v>
      </c>
      <c r="AQ117" s="19">
        <v>0</v>
      </c>
      <c r="AR117" s="21">
        <v>0</v>
      </c>
      <c r="AS117" s="21">
        <f t="shared" si="273"/>
        <v>1.387008</v>
      </c>
      <c r="AT117" s="21">
        <v>0</v>
      </c>
      <c r="AU117" s="21">
        <v>0</v>
      </c>
      <c r="AV117" s="21">
        <v>1.387008</v>
      </c>
      <c r="AW117" s="21">
        <v>0</v>
      </c>
      <c r="AX117" s="21">
        <v>0</v>
      </c>
      <c r="AY117" s="21">
        <v>0</v>
      </c>
      <c r="AZ117" s="21">
        <v>0</v>
      </c>
      <c r="BA117" s="21">
        <v>0</v>
      </c>
      <c r="BB117" s="21">
        <v>0</v>
      </c>
      <c r="BC117" s="19">
        <f t="shared" si="274"/>
        <v>0</v>
      </c>
      <c r="BD117" s="19">
        <v>0</v>
      </c>
      <c r="BE117" s="19">
        <v>0</v>
      </c>
      <c r="BF117" s="19">
        <v>0</v>
      </c>
      <c r="BG117" s="19">
        <v>0</v>
      </c>
      <c r="BH117" s="19">
        <f t="shared" si="275"/>
        <v>0</v>
      </c>
      <c r="BI117" s="19">
        <v>0</v>
      </c>
      <c r="BJ117" s="19">
        <v>0</v>
      </c>
      <c r="BK117" s="19">
        <v>0</v>
      </c>
      <c r="BL117" s="19">
        <v>0</v>
      </c>
      <c r="BM117" s="19">
        <f t="shared" si="276"/>
        <v>0</v>
      </c>
      <c r="BN117" s="19">
        <v>0</v>
      </c>
      <c r="BO117" s="19">
        <v>0</v>
      </c>
      <c r="BP117" s="19">
        <v>0</v>
      </c>
      <c r="BQ117" s="19">
        <v>0</v>
      </c>
      <c r="BR117" s="19">
        <f t="shared" si="277"/>
        <v>0</v>
      </c>
      <c r="BS117" s="19">
        <v>0</v>
      </c>
      <c r="BT117" s="19">
        <v>0</v>
      </c>
      <c r="BU117" s="19">
        <v>0</v>
      </c>
      <c r="BV117" s="19">
        <v>0</v>
      </c>
      <c r="BW117" s="19">
        <f t="shared" si="278"/>
        <v>0</v>
      </c>
      <c r="BX117" s="19">
        <v>0</v>
      </c>
      <c r="BY117" s="19">
        <v>0</v>
      </c>
      <c r="BZ117" s="19">
        <v>0</v>
      </c>
      <c r="CA117" s="19">
        <v>0</v>
      </c>
      <c r="CB117" s="19">
        <v>0</v>
      </c>
      <c r="CC117" s="19">
        <v>0</v>
      </c>
      <c r="CD117" s="19">
        <v>0</v>
      </c>
      <c r="CE117" s="19">
        <v>0</v>
      </c>
      <c r="CF117" s="19">
        <v>0</v>
      </c>
      <c r="CG117" s="19">
        <f t="shared" si="279"/>
        <v>0</v>
      </c>
      <c r="CH117" s="19">
        <v>0</v>
      </c>
      <c r="CI117" s="19">
        <v>0</v>
      </c>
      <c r="CJ117" s="19">
        <v>0</v>
      </c>
      <c r="CK117" s="19">
        <v>0</v>
      </c>
      <c r="CL117" s="21">
        <v>0.78042</v>
      </c>
      <c r="CM117" s="19">
        <v>0</v>
      </c>
      <c r="CN117" s="19">
        <v>0</v>
      </c>
      <c r="CO117" s="21">
        <f>CE117+BU117+BK117+BA117+AQ117+AG117</f>
        <v>0.78042</v>
      </c>
      <c r="CP117" s="19">
        <v>0</v>
      </c>
      <c r="CQ117" s="19">
        <f t="shared" si="280"/>
        <v>2.4755880000000001</v>
      </c>
      <c r="CR117" s="19">
        <v>0</v>
      </c>
      <c r="CS117" s="19">
        <v>0</v>
      </c>
      <c r="CT117" s="19">
        <f t="shared" si="269"/>
        <v>2.4755880000000001</v>
      </c>
      <c r="CU117" s="19">
        <v>0</v>
      </c>
      <c r="CV117" s="20" t="s">
        <v>164</v>
      </c>
    </row>
    <row r="118" spans="1:100" s="8" customFormat="1" ht="31.5" x14ac:dyDescent="0.25">
      <c r="A118" s="24" t="s">
        <v>282</v>
      </c>
      <c r="B118" s="20" t="s">
        <v>274</v>
      </c>
      <c r="C118" s="35" t="s">
        <v>275</v>
      </c>
      <c r="D118" s="16" t="s">
        <v>111</v>
      </c>
      <c r="E118" s="16">
        <v>2024</v>
      </c>
      <c r="F118" s="16" t="s">
        <v>103</v>
      </c>
      <c r="G118" s="16">
        <v>2024</v>
      </c>
      <c r="H118" s="19" t="s">
        <v>103</v>
      </c>
      <c r="I118" s="19">
        <v>0</v>
      </c>
      <c r="J118" s="22" t="s">
        <v>103</v>
      </c>
      <c r="K118" s="22" t="s">
        <v>103</v>
      </c>
      <c r="L118" s="22">
        <f>CT118</f>
        <v>0.3144168</v>
      </c>
      <c r="M118" s="22" t="s">
        <v>103</v>
      </c>
      <c r="N118" s="16" t="s">
        <v>103</v>
      </c>
      <c r="O118" s="11">
        <v>0</v>
      </c>
      <c r="P118" s="19" t="s">
        <v>103</v>
      </c>
      <c r="Q118" s="19" t="s">
        <v>103</v>
      </c>
      <c r="R118" s="19" t="s">
        <v>103</v>
      </c>
      <c r="S118" s="19" t="s">
        <v>103</v>
      </c>
      <c r="T118" s="19" t="s">
        <v>103</v>
      </c>
      <c r="U118" s="19">
        <f t="shared" si="281"/>
        <v>0.3144168</v>
      </c>
      <c r="V118" s="26" t="str">
        <f t="shared" si="282"/>
        <v>нд</v>
      </c>
      <c r="W118" s="26" t="s">
        <v>103</v>
      </c>
      <c r="X118" s="19">
        <f t="shared" si="271"/>
        <v>0</v>
      </c>
      <c r="Y118" s="19">
        <v>0</v>
      </c>
      <c r="Z118" s="19">
        <v>0</v>
      </c>
      <c r="AA118" s="19">
        <v>0</v>
      </c>
      <c r="AB118" s="19">
        <v>0</v>
      </c>
      <c r="AC118" s="19">
        <v>0</v>
      </c>
      <c r="AD118" s="19" t="s">
        <v>103</v>
      </c>
      <c r="AE118" s="19" t="s">
        <v>103</v>
      </c>
      <c r="AF118" s="19" t="s">
        <v>103</v>
      </c>
      <c r="AG118" s="19" t="s">
        <v>103</v>
      </c>
      <c r="AH118" s="19" t="s">
        <v>103</v>
      </c>
      <c r="AI118" s="19">
        <f t="shared" si="272"/>
        <v>0.3144168</v>
      </c>
      <c r="AJ118" s="19">
        <v>0</v>
      </c>
      <c r="AK118" s="19">
        <v>0</v>
      </c>
      <c r="AL118" s="19">
        <v>0.3144168</v>
      </c>
      <c r="AM118" s="19">
        <v>0</v>
      </c>
      <c r="AN118" s="19" t="s">
        <v>103</v>
      </c>
      <c r="AO118" s="19" t="s">
        <v>103</v>
      </c>
      <c r="AP118" s="19" t="s">
        <v>103</v>
      </c>
      <c r="AQ118" s="19" t="s">
        <v>103</v>
      </c>
      <c r="AR118" s="21" t="s">
        <v>103</v>
      </c>
      <c r="AS118" s="21">
        <f t="shared" si="273"/>
        <v>0</v>
      </c>
      <c r="AT118" s="21">
        <v>0</v>
      </c>
      <c r="AU118" s="21">
        <v>0</v>
      </c>
      <c r="AV118" s="21">
        <v>0</v>
      </c>
      <c r="AW118" s="21">
        <v>0</v>
      </c>
      <c r="AX118" s="21" t="s">
        <v>103</v>
      </c>
      <c r="AY118" s="21" t="s">
        <v>103</v>
      </c>
      <c r="AZ118" s="21" t="s">
        <v>103</v>
      </c>
      <c r="BA118" s="21" t="s">
        <v>103</v>
      </c>
      <c r="BB118" s="21" t="s">
        <v>103</v>
      </c>
      <c r="BC118" s="19">
        <f t="shared" si="274"/>
        <v>0</v>
      </c>
      <c r="BD118" s="19">
        <v>0</v>
      </c>
      <c r="BE118" s="19">
        <v>0</v>
      </c>
      <c r="BF118" s="19">
        <v>0</v>
      </c>
      <c r="BG118" s="19">
        <v>0</v>
      </c>
      <c r="BH118" s="19" t="s">
        <v>103</v>
      </c>
      <c r="BI118" s="19" t="s">
        <v>103</v>
      </c>
      <c r="BJ118" s="19" t="s">
        <v>103</v>
      </c>
      <c r="BK118" s="19" t="s">
        <v>103</v>
      </c>
      <c r="BL118" s="19" t="s">
        <v>103</v>
      </c>
      <c r="BM118" s="19">
        <f t="shared" si="276"/>
        <v>0</v>
      </c>
      <c r="BN118" s="19">
        <v>0</v>
      </c>
      <c r="BO118" s="19">
        <v>0</v>
      </c>
      <c r="BP118" s="19">
        <v>0</v>
      </c>
      <c r="BQ118" s="19">
        <v>0</v>
      </c>
      <c r="BR118" s="19" t="s">
        <v>103</v>
      </c>
      <c r="BS118" s="19" t="s">
        <v>103</v>
      </c>
      <c r="BT118" s="19" t="s">
        <v>103</v>
      </c>
      <c r="BU118" s="19" t="s">
        <v>103</v>
      </c>
      <c r="BV118" s="19" t="s">
        <v>103</v>
      </c>
      <c r="BW118" s="19">
        <f t="shared" si="278"/>
        <v>0</v>
      </c>
      <c r="BX118" s="19">
        <v>0</v>
      </c>
      <c r="BY118" s="19">
        <v>0</v>
      </c>
      <c r="BZ118" s="19">
        <v>0</v>
      </c>
      <c r="CA118" s="19">
        <v>0</v>
      </c>
      <c r="CB118" s="19" t="s">
        <v>103</v>
      </c>
      <c r="CC118" s="19" t="s">
        <v>103</v>
      </c>
      <c r="CD118" s="19" t="s">
        <v>103</v>
      </c>
      <c r="CE118" s="19" t="s">
        <v>103</v>
      </c>
      <c r="CF118" s="19" t="s">
        <v>103</v>
      </c>
      <c r="CG118" s="19">
        <f t="shared" si="279"/>
        <v>0</v>
      </c>
      <c r="CH118" s="19">
        <v>0</v>
      </c>
      <c r="CI118" s="19">
        <v>0</v>
      </c>
      <c r="CJ118" s="19">
        <v>0</v>
      </c>
      <c r="CK118" s="19">
        <v>0</v>
      </c>
      <c r="CL118" s="21">
        <v>0</v>
      </c>
      <c r="CM118" s="19" t="s">
        <v>103</v>
      </c>
      <c r="CN118" s="19" t="s">
        <v>103</v>
      </c>
      <c r="CO118" s="21" t="s">
        <v>103</v>
      </c>
      <c r="CP118" s="19" t="s">
        <v>103</v>
      </c>
      <c r="CQ118" s="19">
        <f t="shared" si="280"/>
        <v>0.3144168</v>
      </c>
      <c r="CR118" s="19">
        <v>0</v>
      </c>
      <c r="CS118" s="19">
        <v>0</v>
      </c>
      <c r="CT118" s="19">
        <f t="shared" si="269"/>
        <v>0.3144168</v>
      </c>
      <c r="CU118" s="19">
        <v>0</v>
      </c>
      <c r="CV118" s="20" t="s">
        <v>237</v>
      </c>
    </row>
    <row r="119" spans="1:100" s="8" customFormat="1" ht="63" x14ac:dyDescent="0.25">
      <c r="A119" s="24" t="s">
        <v>283</v>
      </c>
      <c r="B119" s="20" t="s">
        <v>319</v>
      </c>
      <c r="C119" s="35" t="s">
        <v>276</v>
      </c>
      <c r="D119" s="16" t="s">
        <v>111</v>
      </c>
      <c r="E119" s="16">
        <v>2025</v>
      </c>
      <c r="F119" s="16" t="s">
        <v>103</v>
      </c>
      <c r="G119" s="16">
        <v>2025</v>
      </c>
      <c r="H119" s="19" t="s">
        <v>103</v>
      </c>
      <c r="I119" s="19">
        <v>0</v>
      </c>
      <c r="J119" s="22" t="s">
        <v>103</v>
      </c>
      <c r="K119" s="22" t="s">
        <v>103</v>
      </c>
      <c r="L119" s="22">
        <f>CT119</f>
        <v>1.7068893011400001</v>
      </c>
      <c r="M119" s="22" t="s">
        <v>311</v>
      </c>
      <c r="N119" s="16" t="s">
        <v>103</v>
      </c>
      <c r="O119" s="11">
        <v>0</v>
      </c>
      <c r="P119" s="19" t="s">
        <v>103</v>
      </c>
      <c r="Q119" s="19" t="s">
        <v>103</v>
      </c>
      <c r="R119" s="19" t="s">
        <v>103</v>
      </c>
      <c r="S119" s="19" t="s">
        <v>103</v>
      </c>
      <c r="T119" s="19" t="s">
        <v>103</v>
      </c>
      <c r="U119" s="19">
        <f t="shared" si="281"/>
        <v>1.7068893011400001</v>
      </c>
      <c r="V119" s="26" t="str">
        <f t="shared" si="282"/>
        <v>нд</v>
      </c>
      <c r="W119" s="26" t="s">
        <v>103</v>
      </c>
      <c r="X119" s="19">
        <f t="shared" si="271"/>
        <v>1.5990753011400001</v>
      </c>
      <c r="Y119" s="19">
        <v>0</v>
      </c>
      <c r="Z119" s="19">
        <v>0</v>
      </c>
      <c r="AA119" s="19">
        <v>0</v>
      </c>
      <c r="AB119" s="19">
        <v>0</v>
      </c>
      <c r="AC119" s="19">
        <v>0</v>
      </c>
      <c r="AD119" s="19" t="s">
        <v>103</v>
      </c>
      <c r="AE119" s="19" t="s">
        <v>103</v>
      </c>
      <c r="AF119" s="19" t="s">
        <v>103</v>
      </c>
      <c r="AG119" s="19" t="s">
        <v>103</v>
      </c>
      <c r="AH119" s="19" t="s">
        <v>103</v>
      </c>
      <c r="AI119" s="19">
        <f t="shared" si="272"/>
        <v>0.10781399999999999</v>
      </c>
      <c r="AJ119" s="19">
        <v>0</v>
      </c>
      <c r="AK119" s="19">
        <v>0</v>
      </c>
      <c r="AL119" s="19">
        <v>0.10781399999999999</v>
      </c>
      <c r="AM119" s="19">
        <v>0</v>
      </c>
      <c r="AN119" s="19" t="s">
        <v>103</v>
      </c>
      <c r="AO119" s="19" t="s">
        <v>103</v>
      </c>
      <c r="AP119" s="19" t="s">
        <v>103</v>
      </c>
      <c r="AQ119" s="19" t="s">
        <v>103</v>
      </c>
      <c r="AR119" s="21" t="s">
        <v>103</v>
      </c>
      <c r="AS119" s="21">
        <f t="shared" si="273"/>
        <v>1.5990753011400001</v>
      </c>
      <c r="AT119" s="21">
        <v>0</v>
      </c>
      <c r="AU119" s="21">
        <v>0</v>
      </c>
      <c r="AV119" s="21">
        <v>1.5990753011400001</v>
      </c>
      <c r="AW119" s="21">
        <v>0</v>
      </c>
      <c r="AX119" s="21" t="s">
        <v>103</v>
      </c>
      <c r="AY119" s="21" t="s">
        <v>103</v>
      </c>
      <c r="AZ119" s="21" t="s">
        <v>103</v>
      </c>
      <c r="BA119" s="21" t="s">
        <v>103</v>
      </c>
      <c r="BB119" s="21" t="s">
        <v>103</v>
      </c>
      <c r="BC119" s="19">
        <f t="shared" si="274"/>
        <v>0</v>
      </c>
      <c r="BD119" s="19">
        <v>0</v>
      </c>
      <c r="BE119" s="19">
        <v>0</v>
      </c>
      <c r="BF119" s="19">
        <v>0</v>
      </c>
      <c r="BG119" s="19">
        <v>0</v>
      </c>
      <c r="BH119" s="19" t="s">
        <v>103</v>
      </c>
      <c r="BI119" s="19" t="s">
        <v>103</v>
      </c>
      <c r="BJ119" s="19" t="s">
        <v>103</v>
      </c>
      <c r="BK119" s="19" t="s">
        <v>103</v>
      </c>
      <c r="BL119" s="19" t="s">
        <v>103</v>
      </c>
      <c r="BM119" s="19">
        <f t="shared" si="276"/>
        <v>0</v>
      </c>
      <c r="BN119" s="19">
        <v>0</v>
      </c>
      <c r="BO119" s="19">
        <v>0</v>
      </c>
      <c r="BP119" s="19">
        <v>0</v>
      </c>
      <c r="BQ119" s="19">
        <v>0</v>
      </c>
      <c r="BR119" s="19" t="s">
        <v>103</v>
      </c>
      <c r="BS119" s="19" t="s">
        <v>103</v>
      </c>
      <c r="BT119" s="19" t="s">
        <v>103</v>
      </c>
      <c r="BU119" s="19" t="s">
        <v>103</v>
      </c>
      <c r="BV119" s="19" t="s">
        <v>103</v>
      </c>
      <c r="BW119" s="19">
        <f t="shared" si="278"/>
        <v>0</v>
      </c>
      <c r="BX119" s="19">
        <v>0</v>
      </c>
      <c r="BY119" s="19">
        <v>0</v>
      </c>
      <c r="BZ119" s="19">
        <v>0</v>
      </c>
      <c r="CA119" s="19">
        <v>0</v>
      </c>
      <c r="CB119" s="19" t="s">
        <v>103</v>
      </c>
      <c r="CC119" s="19" t="s">
        <v>103</v>
      </c>
      <c r="CD119" s="19" t="s">
        <v>103</v>
      </c>
      <c r="CE119" s="19" t="s">
        <v>103</v>
      </c>
      <c r="CF119" s="19" t="s">
        <v>103</v>
      </c>
      <c r="CG119" s="19">
        <f t="shared" si="279"/>
        <v>0</v>
      </c>
      <c r="CH119" s="19">
        <v>0</v>
      </c>
      <c r="CI119" s="19">
        <v>0</v>
      </c>
      <c r="CJ119" s="19">
        <v>0</v>
      </c>
      <c r="CK119" s="19">
        <v>0</v>
      </c>
      <c r="CL119" s="21">
        <v>0</v>
      </c>
      <c r="CM119" s="19" t="s">
        <v>103</v>
      </c>
      <c r="CN119" s="19" t="s">
        <v>103</v>
      </c>
      <c r="CO119" s="21" t="s">
        <v>103</v>
      </c>
      <c r="CP119" s="19" t="s">
        <v>103</v>
      </c>
      <c r="CQ119" s="19">
        <f t="shared" si="280"/>
        <v>1.7068893011400001</v>
      </c>
      <c r="CR119" s="19">
        <v>0</v>
      </c>
      <c r="CS119" s="19">
        <v>0</v>
      </c>
      <c r="CT119" s="19">
        <f t="shared" si="269"/>
        <v>1.7068893011400001</v>
      </c>
      <c r="CU119" s="19">
        <v>0</v>
      </c>
      <c r="CV119" s="20" t="s">
        <v>237</v>
      </c>
    </row>
    <row r="120" spans="1:100" s="8" customFormat="1" ht="63" x14ac:dyDescent="0.25">
      <c r="A120" s="24" t="s">
        <v>284</v>
      </c>
      <c r="B120" s="20" t="s">
        <v>277</v>
      </c>
      <c r="C120" s="35" t="s">
        <v>278</v>
      </c>
      <c r="D120" s="16" t="s">
        <v>111</v>
      </c>
      <c r="E120" s="16">
        <v>2024</v>
      </c>
      <c r="F120" s="16" t="s">
        <v>103</v>
      </c>
      <c r="G120" s="16">
        <v>2024</v>
      </c>
      <c r="H120" s="19" t="s">
        <v>103</v>
      </c>
      <c r="I120" s="19">
        <v>0</v>
      </c>
      <c r="J120" s="22" t="s">
        <v>103</v>
      </c>
      <c r="K120" s="22" t="s">
        <v>103</v>
      </c>
      <c r="L120" s="22">
        <f>CT120</f>
        <v>1.1019999969600001</v>
      </c>
      <c r="M120" s="22" t="s">
        <v>103</v>
      </c>
      <c r="N120" s="16" t="s">
        <v>103</v>
      </c>
      <c r="O120" s="11">
        <v>0</v>
      </c>
      <c r="P120" s="19" t="s">
        <v>103</v>
      </c>
      <c r="Q120" s="19" t="s">
        <v>103</v>
      </c>
      <c r="R120" s="19" t="s">
        <v>103</v>
      </c>
      <c r="S120" s="19" t="s">
        <v>103</v>
      </c>
      <c r="T120" s="19" t="s">
        <v>103</v>
      </c>
      <c r="U120" s="19">
        <f t="shared" si="281"/>
        <v>1.1019999969600001</v>
      </c>
      <c r="V120" s="26" t="str">
        <f t="shared" si="282"/>
        <v>нд</v>
      </c>
      <c r="W120" s="26" t="s">
        <v>103</v>
      </c>
      <c r="X120" s="19">
        <f t="shared" si="271"/>
        <v>0</v>
      </c>
      <c r="Y120" s="19">
        <v>0</v>
      </c>
      <c r="Z120" s="19">
        <v>0</v>
      </c>
      <c r="AA120" s="19">
        <v>0</v>
      </c>
      <c r="AB120" s="19">
        <v>0</v>
      </c>
      <c r="AC120" s="19">
        <v>0</v>
      </c>
      <c r="AD120" s="19" t="s">
        <v>103</v>
      </c>
      <c r="AE120" s="19" t="s">
        <v>103</v>
      </c>
      <c r="AF120" s="19" t="s">
        <v>103</v>
      </c>
      <c r="AG120" s="19" t="s">
        <v>103</v>
      </c>
      <c r="AH120" s="19" t="s">
        <v>103</v>
      </c>
      <c r="AI120" s="19">
        <f t="shared" si="272"/>
        <v>1.1019999969600001</v>
      </c>
      <c r="AJ120" s="19">
        <v>0</v>
      </c>
      <c r="AK120" s="19">
        <v>0</v>
      </c>
      <c r="AL120" s="19">
        <v>1.1019999969600001</v>
      </c>
      <c r="AM120" s="19">
        <v>0</v>
      </c>
      <c r="AN120" s="19" t="s">
        <v>103</v>
      </c>
      <c r="AO120" s="19" t="s">
        <v>103</v>
      </c>
      <c r="AP120" s="19" t="s">
        <v>103</v>
      </c>
      <c r="AQ120" s="19" t="s">
        <v>103</v>
      </c>
      <c r="AR120" s="21" t="s">
        <v>103</v>
      </c>
      <c r="AS120" s="21">
        <f t="shared" si="273"/>
        <v>0</v>
      </c>
      <c r="AT120" s="21">
        <v>0</v>
      </c>
      <c r="AU120" s="21">
        <v>0</v>
      </c>
      <c r="AV120" s="21">
        <v>0</v>
      </c>
      <c r="AW120" s="21">
        <v>0</v>
      </c>
      <c r="AX120" s="21" t="s">
        <v>103</v>
      </c>
      <c r="AY120" s="21" t="s">
        <v>103</v>
      </c>
      <c r="AZ120" s="21" t="s">
        <v>103</v>
      </c>
      <c r="BA120" s="21" t="s">
        <v>103</v>
      </c>
      <c r="BB120" s="21" t="s">
        <v>103</v>
      </c>
      <c r="BC120" s="19">
        <f t="shared" si="274"/>
        <v>0</v>
      </c>
      <c r="BD120" s="19">
        <v>0</v>
      </c>
      <c r="BE120" s="19">
        <v>0</v>
      </c>
      <c r="BF120" s="19">
        <v>0</v>
      </c>
      <c r="BG120" s="19">
        <v>0</v>
      </c>
      <c r="BH120" s="19" t="s">
        <v>103</v>
      </c>
      <c r="BI120" s="19" t="s">
        <v>103</v>
      </c>
      <c r="BJ120" s="19" t="s">
        <v>103</v>
      </c>
      <c r="BK120" s="19" t="s">
        <v>103</v>
      </c>
      <c r="BL120" s="19" t="s">
        <v>103</v>
      </c>
      <c r="BM120" s="19">
        <f t="shared" si="276"/>
        <v>0</v>
      </c>
      <c r="BN120" s="19">
        <v>0</v>
      </c>
      <c r="BO120" s="19">
        <v>0</v>
      </c>
      <c r="BP120" s="19">
        <v>0</v>
      </c>
      <c r="BQ120" s="19">
        <v>0</v>
      </c>
      <c r="BR120" s="19" t="s">
        <v>103</v>
      </c>
      <c r="BS120" s="19" t="s">
        <v>103</v>
      </c>
      <c r="BT120" s="19" t="s">
        <v>103</v>
      </c>
      <c r="BU120" s="19" t="s">
        <v>103</v>
      </c>
      <c r="BV120" s="19" t="s">
        <v>103</v>
      </c>
      <c r="BW120" s="19">
        <f>SUM(BX120:CA120)</f>
        <v>0</v>
      </c>
      <c r="BX120" s="19">
        <v>0</v>
      </c>
      <c r="BY120" s="19">
        <v>0</v>
      </c>
      <c r="BZ120" s="19">
        <v>0</v>
      </c>
      <c r="CA120" s="19">
        <v>0</v>
      </c>
      <c r="CB120" s="19" t="s">
        <v>103</v>
      </c>
      <c r="CC120" s="19" t="s">
        <v>103</v>
      </c>
      <c r="CD120" s="19" t="s">
        <v>103</v>
      </c>
      <c r="CE120" s="19" t="s">
        <v>103</v>
      </c>
      <c r="CF120" s="19" t="s">
        <v>103</v>
      </c>
      <c r="CG120" s="19">
        <f t="shared" si="279"/>
        <v>0</v>
      </c>
      <c r="CH120" s="19">
        <v>0</v>
      </c>
      <c r="CI120" s="19">
        <v>0</v>
      </c>
      <c r="CJ120" s="19">
        <v>0</v>
      </c>
      <c r="CK120" s="19">
        <v>0</v>
      </c>
      <c r="CL120" s="21">
        <v>0</v>
      </c>
      <c r="CM120" s="19" t="s">
        <v>103</v>
      </c>
      <c r="CN120" s="19" t="s">
        <v>103</v>
      </c>
      <c r="CO120" s="21" t="s">
        <v>103</v>
      </c>
      <c r="CP120" s="19" t="s">
        <v>103</v>
      </c>
      <c r="CQ120" s="19">
        <f t="shared" si="280"/>
        <v>1.1019999969600001</v>
      </c>
      <c r="CR120" s="19">
        <v>0</v>
      </c>
      <c r="CS120" s="19">
        <v>0</v>
      </c>
      <c r="CT120" s="19">
        <f t="shared" si="269"/>
        <v>1.1019999969600001</v>
      </c>
      <c r="CU120" s="19">
        <v>0</v>
      </c>
      <c r="CV120" s="20" t="s">
        <v>164</v>
      </c>
    </row>
    <row r="121" spans="1:100" s="8" customFormat="1" ht="47.25" x14ac:dyDescent="0.25">
      <c r="A121" s="24" t="s">
        <v>294</v>
      </c>
      <c r="B121" s="20" t="s">
        <v>295</v>
      </c>
      <c r="C121" s="35" t="s">
        <v>320</v>
      </c>
      <c r="D121" s="16" t="s">
        <v>111</v>
      </c>
      <c r="E121" s="16">
        <v>2026</v>
      </c>
      <c r="F121" s="16" t="s">
        <v>103</v>
      </c>
      <c r="G121" s="16">
        <v>2026</v>
      </c>
      <c r="H121" s="19" t="s">
        <v>103</v>
      </c>
      <c r="I121" s="19">
        <v>0</v>
      </c>
      <c r="J121" s="22" t="s">
        <v>103</v>
      </c>
      <c r="K121" s="22" t="s">
        <v>103</v>
      </c>
      <c r="L121" s="22">
        <f>AS121+BF121/1.078/1.053</f>
        <v>3.3931379894399991</v>
      </c>
      <c r="M121" s="22" t="s">
        <v>310</v>
      </c>
      <c r="N121" s="16" t="s">
        <v>103</v>
      </c>
      <c r="O121" s="11">
        <v>0</v>
      </c>
      <c r="P121" s="19" t="s">
        <v>103</v>
      </c>
      <c r="Q121" s="19" t="s">
        <v>103</v>
      </c>
      <c r="R121" s="19" t="s">
        <v>103</v>
      </c>
      <c r="S121" s="19" t="s">
        <v>103</v>
      </c>
      <c r="T121" s="19" t="s">
        <v>103</v>
      </c>
      <c r="U121" s="19">
        <f t="shared" si="281"/>
        <v>3.8207791855264799</v>
      </c>
      <c r="V121" s="26" t="str">
        <f t="shared" si="282"/>
        <v>нд</v>
      </c>
      <c r="W121" s="26" t="s">
        <v>103</v>
      </c>
      <c r="X121" s="19">
        <f t="shared" si="271"/>
        <v>3.8207791855264799</v>
      </c>
      <c r="Y121" s="19">
        <v>0</v>
      </c>
      <c r="Z121" s="19">
        <v>0</v>
      </c>
      <c r="AA121" s="19">
        <v>0</v>
      </c>
      <c r="AB121" s="19">
        <v>0</v>
      </c>
      <c r="AC121" s="19">
        <v>0</v>
      </c>
      <c r="AD121" s="19" t="s">
        <v>103</v>
      </c>
      <c r="AE121" s="19" t="s">
        <v>103</v>
      </c>
      <c r="AF121" s="19" t="s">
        <v>103</v>
      </c>
      <c r="AG121" s="19" t="s">
        <v>103</v>
      </c>
      <c r="AH121" s="19" t="s">
        <v>103</v>
      </c>
      <c r="AI121" s="19">
        <f t="shared" si="272"/>
        <v>0</v>
      </c>
      <c r="AJ121" s="19">
        <v>0</v>
      </c>
      <c r="AK121" s="19">
        <v>0</v>
      </c>
      <c r="AL121" s="19">
        <v>0</v>
      </c>
      <c r="AM121" s="19">
        <v>0</v>
      </c>
      <c r="AN121" s="19" t="s">
        <v>103</v>
      </c>
      <c r="AO121" s="19" t="s">
        <v>103</v>
      </c>
      <c r="AP121" s="19" t="s">
        <v>103</v>
      </c>
      <c r="AQ121" s="19" t="s">
        <v>103</v>
      </c>
      <c r="AR121" s="21" t="s">
        <v>103</v>
      </c>
      <c r="AS121" s="21">
        <f t="shared" si="273"/>
        <v>0.228566556</v>
      </c>
      <c r="AT121" s="21">
        <v>0</v>
      </c>
      <c r="AU121" s="21">
        <v>0</v>
      </c>
      <c r="AV121" s="21">
        <v>0.228566556</v>
      </c>
      <c r="AW121" s="21">
        <v>0</v>
      </c>
      <c r="AX121" s="21" t="s">
        <v>103</v>
      </c>
      <c r="AY121" s="21" t="s">
        <v>103</v>
      </c>
      <c r="AZ121" s="21" t="s">
        <v>103</v>
      </c>
      <c r="BA121" s="21" t="s">
        <v>103</v>
      </c>
      <c r="BB121" s="21" t="s">
        <v>103</v>
      </c>
      <c r="BC121" s="19">
        <f t="shared" si="274"/>
        <v>3.5922126295264798</v>
      </c>
      <c r="BD121" s="19">
        <v>0</v>
      </c>
      <c r="BE121" s="19">
        <v>0</v>
      </c>
      <c r="BF121" s="19">
        <v>3.5922126295264798</v>
      </c>
      <c r="BG121" s="19">
        <v>0</v>
      </c>
      <c r="BH121" s="19" t="s">
        <v>103</v>
      </c>
      <c r="BI121" s="19" t="s">
        <v>103</v>
      </c>
      <c r="BJ121" s="19" t="s">
        <v>103</v>
      </c>
      <c r="BK121" s="19" t="s">
        <v>103</v>
      </c>
      <c r="BL121" s="19" t="s">
        <v>103</v>
      </c>
      <c r="BM121" s="19">
        <f t="shared" si="276"/>
        <v>0</v>
      </c>
      <c r="BN121" s="19">
        <v>0</v>
      </c>
      <c r="BO121" s="19">
        <v>0</v>
      </c>
      <c r="BP121" s="19">
        <v>0</v>
      </c>
      <c r="BQ121" s="19">
        <v>0</v>
      </c>
      <c r="BR121" s="19" t="s">
        <v>103</v>
      </c>
      <c r="BS121" s="19" t="s">
        <v>103</v>
      </c>
      <c r="BT121" s="19" t="s">
        <v>103</v>
      </c>
      <c r="BU121" s="19" t="s">
        <v>103</v>
      </c>
      <c r="BV121" s="19" t="s">
        <v>103</v>
      </c>
      <c r="BW121" s="19">
        <f t="shared" si="278"/>
        <v>0</v>
      </c>
      <c r="BX121" s="19">
        <v>0</v>
      </c>
      <c r="BY121" s="19">
        <v>0</v>
      </c>
      <c r="BZ121" s="19">
        <v>0</v>
      </c>
      <c r="CA121" s="19">
        <v>0</v>
      </c>
      <c r="CB121" s="19" t="s">
        <v>103</v>
      </c>
      <c r="CC121" s="19" t="s">
        <v>103</v>
      </c>
      <c r="CD121" s="19" t="s">
        <v>103</v>
      </c>
      <c r="CE121" s="19" t="s">
        <v>103</v>
      </c>
      <c r="CF121" s="19" t="s">
        <v>103</v>
      </c>
      <c r="CG121" s="19">
        <f t="shared" si="279"/>
        <v>0</v>
      </c>
      <c r="CH121" s="19">
        <v>0</v>
      </c>
      <c r="CI121" s="19">
        <v>0</v>
      </c>
      <c r="CJ121" s="19">
        <v>0</v>
      </c>
      <c r="CK121" s="19">
        <v>0</v>
      </c>
      <c r="CL121" s="21">
        <v>0</v>
      </c>
      <c r="CM121" s="19" t="s">
        <v>103</v>
      </c>
      <c r="CN121" s="19" t="s">
        <v>103</v>
      </c>
      <c r="CO121" s="21" t="s">
        <v>103</v>
      </c>
      <c r="CP121" s="19" t="s">
        <v>103</v>
      </c>
      <c r="CQ121" s="19">
        <f t="shared" si="280"/>
        <v>3.8207791855264799</v>
      </c>
      <c r="CR121" s="19">
        <v>0</v>
      </c>
      <c r="CS121" s="19">
        <v>0</v>
      </c>
      <c r="CT121" s="19">
        <f t="shared" si="269"/>
        <v>3.8207791855264799</v>
      </c>
      <c r="CU121" s="19">
        <v>0</v>
      </c>
      <c r="CV121" s="20" t="s">
        <v>237</v>
      </c>
    </row>
    <row r="122" spans="1:100" s="8" customFormat="1" ht="78.75" x14ac:dyDescent="0.25">
      <c r="A122" s="24" t="s">
        <v>296</v>
      </c>
      <c r="B122" s="20" t="s">
        <v>297</v>
      </c>
      <c r="C122" s="35" t="s">
        <v>321</v>
      </c>
      <c r="D122" s="16" t="s">
        <v>111</v>
      </c>
      <c r="E122" s="16">
        <v>2027</v>
      </c>
      <c r="F122" s="16" t="s">
        <v>103</v>
      </c>
      <c r="G122" s="16">
        <v>2027</v>
      </c>
      <c r="H122" s="19" t="s">
        <v>103</v>
      </c>
      <c r="I122" s="19">
        <v>0</v>
      </c>
      <c r="J122" s="22" t="s">
        <v>103</v>
      </c>
      <c r="K122" s="22" t="s">
        <v>103</v>
      </c>
      <c r="L122" s="22">
        <f>CT122/1.078</f>
        <v>0.38961038961038957</v>
      </c>
      <c r="M122" s="22" t="s">
        <v>310</v>
      </c>
      <c r="N122" s="16" t="s">
        <v>103</v>
      </c>
      <c r="O122" s="11">
        <v>0</v>
      </c>
      <c r="P122" s="19" t="s">
        <v>103</v>
      </c>
      <c r="Q122" s="19" t="s">
        <v>103</v>
      </c>
      <c r="R122" s="19" t="s">
        <v>103</v>
      </c>
      <c r="S122" s="19" t="s">
        <v>103</v>
      </c>
      <c r="T122" s="19" t="s">
        <v>103</v>
      </c>
      <c r="U122" s="19">
        <f t="shared" si="281"/>
        <v>0.42</v>
      </c>
      <c r="V122" s="26" t="str">
        <f t="shared" si="282"/>
        <v>нд</v>
      </c>
      <c r="W122" s="26" t="s">
        <v>103</v>
      </c>
      <c r="X122" s="19">
        <f t="shared" si="271"/>
        <v>0.42</v>
      </c>
      <c r="Y122" s="19">
        <v>0</v>
      </c>
      <c r="Z122" s="19">
        <v>0</v>
      </c>
      <c r="AA122" s="19">
        <v>0</v>
      </c>
      <c r="AB122" s="19">
        <v>0</v>
      </c>
      <c r="AC122" s="19">
        <v>0</v>
      </c>
      <c r="AD122" s="19" t="s">
        <v>103</v>
      </c>
      <c r="AE122" s="19" t="s">
        <v>103</v>
      </c>
      <c r="AF122" s="19" t="s">
        <v>103</v>
      </c>
      <c r="AG122" s="19" t="s">
        <v>103</v>
      </c>
      <c r="AH122" s="19" t="s">
        <v>103</v>
      </c>
      <c r="AI122" s="19">
        <f t="shared" si="272"/>
        <v>0</v>
      </c>
      <c r="AJ122" s="19">
        <v>0</v>
      </c>
      <c r="AK122" s="19">
        <v>0</v>
      </c>
      <c r="AL122" s="19">
        <v>0</v>
      </c>
      <c r="AM122" s="19">
        <v>0</v>
      </c>
      <c r="AN122" s="19" t="s">
        <v>103</v>
      </c>
      <c r="AO122" s="19" t="s">
        <v>103</v>
      </c>
      <c r="AP122" s="19" t="s">
        <v>103</v>
      </c>
      <c r="AQ122" s="19" t="s">
        <v>103</v>
      </c>
      <c r="AR122" s="21" t="s">
        <v>103</v>
      </c>
      <c r="AS122" s="21">
        <f t="shared" si="273"/>
        <v>0.42</v>
      </c>
      <c r="AT122" s="21">
        <v>0</v>
      </c>
      <c r="AU122" s="21">
        <v>0</v>
      </c>
      <c r="AV122" s="21">
        <v>0.42</v>
      </c>
      <c r="AW122" s="21">
        <v>0</v>
      </c>
      <c r="AX122" s="21" t="s">
        <v>103</v>
      </c>
      <c r="AY122" s="21" t="s">
        <v>103</v>
      </c>
      <c r="AZ122" s="21" t="s">
        <v>103</v>
      </c>
      <c r="BA122" s="21" t="s">
        <v>103</v>
      </c>
      <c r="BB122" s="21" t="s">
        <v>103</v>
      </c>
      <c r="BC122" s="19">
        <f t="shared" si="274"/>
        <v>0</v>
      </c>
      <c r="BD122" s="19">
        <v>0</v>
      </c>
      <c r="BE122" s="19">
        <v>0</v>
      </c>
      <c r="BF122" s="19">
        <v>0</v>
      </c>
      <c r="BG122" s="19">
        <v>0</v>
      </c>
      <c r="BH122" s="19" t="s">
        <v>103</v>
      </c>
      <c r="BI122" s="19" t="s">
        <v>103</v>
      </c>
      <c r="BJ122" s="19" t="s">
        <v>103</v>
      </c>
      <c r="BK122" s="19" t="s">
        <v>103</v>
      </c>
      <c r="BL122" s="19" t="s">
        <v>103</v>
      </c>
      <c r="BM122" s="19">
        <f t="shared" si="276"/>
        <v>0</v>
      </c>
      <c r="BN122" s="19">
        <v>0</v>
      </c>
      <c r="BO122" s="19">
        <v>0</v>
      </c>
      <c r="BP122" s="19">
        <v>0</v>
      </c>
      <c r="BQ122" s="19">
        <v>0</v>
      </c>
      <c r="BR122" s="19" t="s">
        <v>103</v>
      </c>
      <c r="BS122" s="19" t="s">
        <v>103</v>
      </c>
      <c r="BT122" s="19" t="s">
        <v>103</v>
      </c>
      <c r="BU122" s="19" t="s">
        <v>103</v>
      </c>
      <c r="BV122" s="19" t="s">
        <v>103</v>
      </c>
      <c r="BW122" s="19">
        <f t="shared" si="278"/>
        <v>0</v>
      </c>
      <c r="BX122" s="19">
        <v>0</v>
      </c>
      <c r="BY122" s="19">
        <v>0</v>
      </c>
      <c r="BZ122" s="19">
        <v>0</v>
      </c>
      <c r="CA122" s="19">
        <v>0</v>
      </c>
      <c r="CB122" s="19" t="s">
        <v>103</v>
      </c>
      <c r="CC122" s="19" t="s">
        <v>103</v>
      </c>
      <c r="CD122" s="19" t="s">
        <v>103</v>
      </c>
      <c r="CE122" s="19" t="s">
        <v>103</v>
      </c>
      <c r="CF122" s="19" t="s">
        <v>103</v>
      </c>
      <c r="CG122" s="19">
        <f t="shared" si="279"/>
        <v>0</v>
      </c>
      <c r="CH122" s="19">
        <v>0</v>
      </c>
      <c r="CI122" s="19">
        <v>0</v>
      </c>
      <c r="CJ122" s="19">
        <v>0</v>
      </c>
      <c r="CK122" s="19">
        <v>0</v>
      </c>
      <c r="CL122" s="21">
        <v>0</v>
      </c>
      <c r="CM122" s="19" t="s">
        <v>103</v>
      </c>
      <c r="CN122" s="19" t="s">
        <v>103</v>
      </c>
      <c r="CO122" s="21" t="s">
        <v>103</v>
      </c>
      <c r="CP122" s="19" t="s">
        <v>103</v>
      </c>
      <c r="CQ122" s="19">
        <f t="shared" si="280"/>
        <v>0.42</v>
      </c>
      <c r="CR122" s="19">
        <v>0</v>
      </c>
      <c r="CS122" s="19">
        <v>0</v>
      </c>
      <c r="CT122" s="19">
        <f t="shared" si="269"/>
        <v>0.42</v>
      </c>
      <c r="CU122" s="19">
        <v>0</v>
      </c>
      <c r="CV122" s="20" t="s">
        <v>237</v>
      </c>
    </row>
    <row r="123" spans="1:100" s="8" customFormat="1" ht="63" x14ac:dyDescent="0.25">
      <c r="A123" s="24" t="s">
        <v>298</v>
      </c>
      <c r="B123" s="20" t="s">
        <v>322</v>
      </c>
      <c r="C123" s="35" t="s">
        <v>323</v>
      </c>
      <c r="D123" s="16" t="s">
        <v>111</v>
      </c>
      <c r="E123" s="16">
        <v>2025</v>
      </c>
      <c r="F123" s="16" t="s">
        <v>103</v>
      </c>
      <c r="G123" s="16">
        <v>2025</v>
      </c>
      <c r="H123" s="19" t="s">
        <v>103</v>
      </c>
      <c r="I123" s="19">
        <v>0</v>
      </c>
      <c r="J123" s="22" t="s">
        <v>103</v>
      </c>
      <c r="K123" s="22" t="s">
        <v>103</v>
      </c>
      <c r="L123" s="22">
        <f>CT123/1.078</f>
        <v>0.65770290166975875</v>
      </c>
      <c r="M123" s="22" t="s">
        <v>310</v>
      </c>
      <c r="N123" s="16" t="s">
        <v>103</v>
      </c>
      <c r="O123" s="11">
        <v>0</v>
      </c>
      <c r="P123" s="19" t="s">
        <v>103</v>
      </c>
      <c r="Q123" s="19" t="s">
        <v>103</v>
      </c>
      <c r="R123" s="19" t="s">
        <v>103</v>
      </c>
      <c r="S123" s="19" t="s">
        <v>103</v>
      </c>
      <c r="T123" s="19" t="s">
        <v>103</v>
      </c>
      <c r="U123" s="19">
        <f t="shared" si="281"/>
        <v>0.709003728</v>
      </c>
      <c r="V123" s="26" t="str">
        <f t="shared" si="282"/>
        <v>нд</v>
      </c>
      <c r="W123" s="26" t="s">
        <v>103</v>
      </c>
      <c r="X123" s="19">
        <f t="shared" si="271"/>
        <v>0.709003728</v>
      </c>
      <c r="Y123" s="19">
        <v>0</v>
      </c>
      <c r="Z123" s="19">
        <v>0</v>
      </c>
      <c r="AA123" s="19">
        <v>0</v>
      </c>
      <c r="AB123" s="19">
        <v>0</v>
      </c>
      <c r="AC123" s="19">
        <v>0</v>
      </c>
      <c r="AD123" s="19" t="s">
        <v>103</v>
      </c>
      <c r="AE123" s="19" t="s">
        <v>103</v>
      </c>
      <c r="AF123" s="19" t="s">
        <v>103</v>
      </c>
      <c r="AG123" s="19" t="s">
        <v>103</v>
      </c>
      <c r="AH123" s="19" t="s">
        <v>103</v>
      </c>
      <c r="AI123" s="19">
        <f t="shared" si="272"/>
        <v>0</v>
      </c>
      <c r="AJ123" s="19">
        <v>0</v>
      </c>
      <c r="AK123" s="19">
        <v>0</v>
      </c>
      <c r="AL123" s="19">
        <v>0</v>
      </c>
      <c r="AM123" s="19">
        <v>0</v>
      </c>
      <c r="AN123" s="19" t="s">
        <v>103</v>
      </c>
      <c r="AO123" s="19" t="s">
        <v>103</v>
      </c>
      <c r="AP123" s="19" t="s">
        <v>103</v>
      </c>
      <c r="AQ123" s="19" t="s">
        <v>103</v>
      </c>
      <c r="AR123" s="21" t="s">
        <v>103</v>
      </c>
      <c r="AS123" s="21">
        <f t="shared" si="273"/>
        <v>0.709003728</v>
      </c>
      <c r="AT123" s="21">
        <v>0</v>
      </c>
      <c r="AU123" s="21">
        <v>0</v>
      </c>
      <c r="AV123" s="21">
        <v>0.709003728</v>
      </c>
      <c r="AW123" s="21">
        <v>0</v>
      </c>
      <c r="AX123" s="21" t="s">
        <v>103</v>
      </c>
      <c r="AY123" s="21" t="s">
        <v>103</v>
      </c>
      <c r="AZ123" s="21" t="s">
        <v>103</v>
      </c>
      <c r="BA123" s="21" t="s">
        <v>103</v>
      </c>
      <c r="BB123" s="21" t="s">
        <v>103</v>
      </c>
      <c r="BC123" s="19">
        <f t="shared" si="274"/>
        <v>0</v>
      </c>
      <c r="BD123" s="19">
        <v>0</v>
      </c>
      <c r="BE123" s="19">
        <v>0</v>
      </c>
      <c r="BF123" s="19">
        <v>0</v>
      </c>
      <c r="BG123" s="19">
        <v>0</v>
      </c>
      <c r="BH123" s="19" t="s">
        <v>103</v>
      </c>
      <c r="BI123" s="19" t="s">
        <v>103</v>
      </c>
      <c r="BJ123" s="19" t="s">
        <v>103</v>
      </c>
      <c r="BK123" s="19" t="s">
        <v>103</v>
      </c>
      <c r="BL123" s="19" t="s">
        <v>103</v>
      </c>
      <c r="BM123" s="19">
        <f t="shared" si="276"/>
        <v>0</v>
      </c>
      <c r="BN123" s="19">
        <v>0</v>
      </c>
      <c r="BO123" s="19">
        <v>0</v>
      </c>
      <c r="BP123" s="19">
        <v>0</v>
      </c>
      <c r="BQ123" s="19">
        <v>0</v>
      </c>
      <c r="BR123" s="19" t="s">
        <v>103</v>
      </c>
      <c r="BS123" s="19" t="s">
        <v>103</v>
      </c>
      <c r="BT123" s="19" t="s">
        <v>103</v>
      </c>
      <c r="BU123" s="19" t="s">
        <v>103</v>
      </c>
      <c r="BV123" s="19" t="s">
        <v>103</v>
      </c>
      <c r="BW123" s="19">
        <f t="shared" si="278"/>
        <v>0</v>
      </c>
      <c r="BX123" s="19">
        <v>0</v>
      </c>
      <c r="BY123" s="19">
        <v>0</v>
      </c>
      <c r="BZ123" s="19">
        <v>0</v>
      </c>
      <c r="CA123" s="19">
        <v>0</v>
      </c>
      <c r="CB123" s="19" t="s">
        <v>103</v>
      </c>
      <c r="CC123" s="19" t="s">
        <v>103</v>
      </c>
      <c r="CD123" s="19" t="s">
        <v>103</v>
      </c>
      <c r="CE123" s="19" t="s">
        <v>103</v>
      </c>
      <c r="CF123" s="19" t="s">
        <v>103</v>
      </c>
      <c r="CG123" s="19">
        <f t="shared" si="279"/>
        <v>0</v>
      </c>
      <c r="CH123" s="19">
        <v>0</v>
      </c>
      <c r="CI123" s="19">
        <v>0</v>
      </c>
      <c r="CJ123" s="19">
        <v>0</v>
      </c>
      <c r="CK123" s="19">
        <v>0</v>
      </c>
      <c r="CL123" s="21">
        <v>0</v>
      </c>
      <c r="CM123" s="19" t="s">
        <v>103</v>
      </c>
      <c r="CN123" s="19" t="s">
        <v>103</v>
      </c>
      <c r="CO123" s="21" t="s">
        <v>103</v>
      </c>
      <c r="CP123" s="19" t="s">
        <v>103</v>
      </c>
      <c r="CQ123" s="19">
        <f t="shared" si="280"/>
        <v>0.709003728</v>
      </c>
      <c r="CR123" s="19">
        <v>0</v>
      </c>
      <c r="CS123" s="19">
        <v>0</v>
      </c>
      <c r="CT123" s="19">
        <f t="shared" si="269"/>
        <v>0.709003728</v>
      </c>
      <c r="CU123" s="19">
        <v>0</v>
      </c>
      <c r="CV123" s="20" t="s">
        <v>130</v>
      </c>
    </row>
  </sheetData>
  <autoFilter ref="A14:CV123" xr:uid="{00000000-0009-0000-0000-000000000000}"/>
  <mergeCells count="43">
    <mergeCell ref="P11:S11"/>
    <mergeCell ref="R12:S12"/>
    <mergeCell ref="T11:U12"/>
    <mergeCell ref="BW12:CA12"/>
    <mergeCell ref="CL12:CP12"/>
    <mergeCell ref="V11:X12"/>
    <mergeCell ref="AI12:AM12"/>
    <mergeCell ref="BC12:BG12"/>
    <mergeCell ref="BM12:BQ12"/>
    <mergeCell ref="AD11:CU11"/>
    <mergeCell ref="CQ12:CU12"/>
    <mergeCell ref="A1:BR1"/>
    <mergeCell ref="A3:BR3"/>
    <mergeCell ref="A4:BR4"/>
    <mergeCell ref="AS12:AW12"/>
    <mergeCell ref="AX12:BB12"/>
    <mergeCell ref="N11:N13"/>
    <mergeCell ref="O11:O13"/>
    <mergeCell ref="BH12:BL12"/>
    <mergeCell ref="BR12:BV12"/>
    <mergeCell ref="AN12:AR12"/>
    <mergeCell ref="A6:AW6"/>
    <mergeCell ref="A2:AW2"/>
    <mergeCell ref="A5:AW5"/>
    <mergeCell ref="Y11:AC11"/>
    <mergeCell ref="AD12:AH12"/>
    <mergeCell ref="A7:AW7"/>
    <mergeCell ref="A11:A13"/>
    <mergeCell ref="A8:CV8"/>
    <mergeCell ref="A9:CV9"/>
    <mergeCell ref="B11:B13"/>
    <mergeCell ref="C11:C13"/>
    <mergeCell ref="D11:D13"/>
    <mergeCell ref="E11:E13"/>
    <mergeCell ref="F11:G12"/>
    <mergeCell ref="CB12:CF12"/>
    <mergeCell ref="CG12:CK12"/>
    <mergeCell ref="CV11:CV13"/>
    <mergeCell ref="H12:J12"/>
    <mergeCell ref="P12:Q12"/>
    <mergeCell ref="H11:M11"/>
    <mergeCell ref="K12:M12"/>
    <mergeCell ref="Y12:AC12"/>
  </mergeCells>
  <pageMargins left="0.19685039370078741" right="0.19685039370078741" top="0.35433070866141736" bottom="0.15748031496062992" header="0.31496062992125984" footer="0.31496062992125984"/>
  <pageSetup paperSize="8" scale="4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14D9E5-31E6-4B1C-8880-AF468CA66EC0}">
  <dimension ref="A1:C12"/>
  <sheetViews>
    <sheetView workbookViewId="0">
      <selection sqref="A1:XFD1048576"/>
    </sheetView>
  </sheetViews>
  <sheetFormatPr defaultRowHeight="15" x14ac:dyDescent="0.25"/>
  <cols>
    <col min="1" max="1" width="7.140625" customWidth="1"/>
    <col min="2" max="2" width="21.42578125" customWidth="1"/>
    <col min="3" max="3" width="42.85546875" customWidth="1"/>
  </cols>
  <sheetData>
    <row r="1" spans="1:3" ht="15" customHeight="1" x14ac:dyDescent="0.25">
      <c r="A1" s="79" t="s">
        <v>329</v>
      </c>
      <c r="B1" s="80"/>
      <c r="C1" s="81"/>
    </row>
    <row r="2" spans="1:3" ht="15" customHeight="1" x14ac:dyDescent="0.25">
      <c r="A2" s="82"/>
      <c r="B2" s="83" t="s">
        <v>330</v>
      </c>
      <c r="C2" s="84"/>
    </row>
    <row r="3" spans="1:3" ht="15" customHeight="1" x14ac:dyDescent="0.25">
      <c r="A3" s="82"/>
      <c r="B3" s="83" t="s">
        <v>331</v>
      </c>
      <c r="C3" s="84"/>
    </row>
    <row r="4" spans="1:3" ht="15" customHeight="1" x14ac:dyDescent="0.25">
      <c r="A4" s="85" t="s">
        <v>332</v>
      </c>
      <c r="B4" s="86"/>
      <c r="C4" s="87"/>
    </row>
    <row r="5" spans="1:3" ht="15" customHeight="1" x14ac:dyDescent="0.25">
      <c r="A5" s="77" t="s">
        <v>333</v>
      </c>
      <c r="B5" s="78"/>
      <c r="C5" s="46" t="s">
        <v>334</v>
      </c>
    </row>
    <row r="6" spans="1:3" ht="105" x14ac:dyDescent="0.25">
      <c r="A6" s="75" t="s">
        <v>335</v>
      </c>
      <c r="B6" s="76"/>
      <c r="C6" s="46" t="s">
        <v>336</v>
      </c>
    </row>
    <row r="7" spans="1:3" ht="60" x14ac:dyDescent="0.25">
      <c r="A7" s="75" t="s">
        <v>337</v>
      </c>
      <c r="B7" s="76"/>
      <c r="C7" s="46" t="s">
        <v>338</v>
      </c>
    </row>
    <row r="8" spans="1:3" ht="15" customHeight="1" x14ac:dyDescent="0.25">
      <c r="A8" s="77" t="s">
        <v>339</v>
      </c>
      <c r="B8" s="78"/>
      <c r="C8" s="46" t="s">
        <v>340</v>
      </c>
    </row>
    <row r="9" spans="1:3" ht="15" customHeight="1" x14ac:dyDescent="0.25">
      <c r="A9" s="77" t="s">
        <v>341</v>
      </c>
      <c r="B9" s="78"/>
      <c r="C9" s="46" t="s">
        <v>342</v>
      </c>
    </row>
    <row r="10" spans="1:3" ht="15" customHeight="1" x14ac:dyDescent="0.25">
      <c r="A10" s="77" t="s">
        <v>343</v>
      </c>
      <c r="B10" s="78"/>
      <c r="C10" s="46" t="s">
        <v>344</v>
      </c>
    </row>
    <row r="11" spans="1:3" ht="15" customHeight="1" x14ac:dyDescent="0.25">
      <c r="A11" s="77" t="s">
        <v>345</v>
      </c>
      <c r="B11" s="78"/>
      <c r="C11" s="46" t="s">
        <v>346</v>
      </c>
    </row>
    <row r="12" spans="1:3" ht="15.75" thickBot="1" x14ac:dyDescent="0.3">
      <c r="A12" s="47"/>
      <c r="B12" s="48"/>
      <c r="C12" s="49"/>
    </row>
  </sheetData>
  <mergeCells count="12">
    <mergeCell ref="A11:B11"/>
    <mergeCell ref="A1:C1"/>
    <mergeCell ref="A2:A3"/>
    <mergeCell ref="B2:C2"/>
    <mergeCell ref="B3:C3"/>
    <mergeCell ref="A4:C4"/>
    <mergeCell ref="A5:B5"/>
    <mergeCell ref="A6:B6"/>
    <mergeCell ref="A7:B7"/>
    <mergeCell ref="A8:B8"/>
    <mergeCell ref="A9:B9"/>
    <mergeCell ref="A10:B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Информация о подписи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2025-04-21T01:51:19Z</dcterms:modified>
</cp:coreProperties>
</file>